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350" windowHeight="7860" tabRatio="666" activeTab="0"/>
  </bookViews>
  <sheets>
    <sheet name="Main" sheetId="1" r:id="rId1"/>
    <sheet name="Conversion tools" sheetId="2" r:id="rId2"/>
    <sheet name="Floor Bounce Effects" sheetId="3" r:id="rId3"/>
    <sheet name="Common filter rates" sheetId="4" r:id="rId4"/>
    <sheet name="Woofer volume" sheetId="5" r:id="rId5"/>
    <sheet name="Notes" sheetId="6" r:id="rId6"/>
    <sheet name="c" sheetId="7" r:id="rId7"/>
  </sheets>
  <definedNames>
    <definedName name="bt">'c'!$D$2</definedName>
    <definedName name="d">'c'!$B$5</definedName>
    <definedName name="ft">'c'!$A$2</definedName>
    <definedName name="h">'c'!$C$5</definedName>
    <definedName name="_xlnm.Print_Area" localSheetId="0">'Main'!$B$1:$N$66</definedName>
    <definedName name="rt">'c'!$B$2</definedName>
    <definedName name="SoS">'Conversion tools'!$D$11</definedName>
    <definedName name="st">'c'!$E$2</definedName>
    <definedName name="tt">'c'!$C$2</definedName>
    <definedName name="w">'c'!$A$5</definedName>
  </definedNames>
  <calcPr fullCalcOnLoad="1"/>
</workbook>
</file>

<file path=xl/comments1.xml><?xml version="1.0" encoding="utf-8"?>
<comments xmlns="http://schemas.openxmlformats.org/spreadsheetml/2006/main">
  <authors>
    <author>smithpj</author>
    <author> </author>
  </authors>
  <commentList>
    <comment ref="L19" authorId="0">
      <text>
        <r>
          <rPr>
            <b/>
            <sz val="8"/>
            <rFont val="Tahoma"/>
            <family val="0"/>
          </rPr>
          <t>Driver 1 to Driver 2 
Crossover should not be less than this between this driver and the next smaller one.</t>
        </r>
      </text>
    </comment>
    <comment ref="K19" authorId="0">
      <text>
        <r>
          <rPr>
            <b/>
            <sz val="8"/>
            <rFont val="Tahoma"/>
            <family val="0"/>
          </rPr>
          <t>Driver 1 to Driver 2</t>
        </r>
      </text>
    </comment>
    <comment ref="K20" authorId="0">
      <text>
        <r>
          <rPr>
            <b/>
            <sz val="8"/>
            <rFont val="Tahoma"/>
            <family val="2"/>
          </rPr>
          <t>Driver 2 to Driver 3</t>
        </r>
      </text>
    </comment>
    <comment ref="B20" authorId="0">
      <text>
        <r>
          <rPr>
            <b/>
            <sz val="8"/>
            <rFont val="Tahoma"/>
            <family val="0"/>
          </rPr>
          <t>Golden ratio based on  width.  Remember there are a number of "golden ratios".</t>
        </r>
      </text>
    </comment>
    <comment ref="K18" authorId="0">
      <text>
        <r>
          <rPr>
            <b/>
            <sz val="8"/>
            <rFont val="Tahoma"/>
            <family val="0"/>
          </rPr>
          <t>Edge of Driver 1 to top of box</t>
        </r>
      </text>
    </comment>
    <comment ref="D52" authorId="0">
      <text>
        <r>
          <rPr>
            <b/>
            <sz val="8"/>
            <rFont val="Tahoma"/>
            <family val="0"/>
          </rPr>
          <t xml:space="preserve">Total number of complete speakers needed.  Calculates number of panels. </t>
        </r>
      </text>
    </comment>
    <comment ref="G5" authorId="1">
      <text>
        <r>
          <rPr>
            <b/>
            <sz val="8"/>
            <rFont val="Tahoma"/>
            <family val="0"/>
          </rPr>
          <t xml:space="preserve"> 0.753 for MDF</t>
        </r>
        <r>
          <rPr>
            <sz val="8"/>
            <rFont val="Tahoma"/>
            <family val="0"/>
          </rPr>
          <t xml:space="preserve">
</t>
        </r>
      </text>
    </comment>
    <comment ref="L21" authorId="0">
      <text>
        <r>
          <rPr>
            <b/>
            <sz val="8"/>
            <rFont val="Tahoma"/>
            <family val="0"/>
          </rPr>
          <t>Driver 1 to Driver 3</t>
        </r>
      </text>
    </comment>
    <comment ref="L20" authorId="0">
      <text>
        <r>
          <rPr>
            <b/>
            <sz val="8"/>
            <rFont val="Tahoma"/>
            <family val="0"/>
          </rPr>
          <t>Driver 2 to Driver 3
Crossover should not be less than this between this driver and the next smaller one.</t>
        </r>
      </text>
    </comment>
    <comment ref="B21" authorId="0">
      <text>
        <r>
          <rPr>
            <b/>
            <sz val="8"/>
            <rFont val="Tahoma"/>
            <family val="0"/>
          </rPr>
          <t>1/2 the baffle in Hz</t>
        </r>
        <r>
          <rPr>
            <sz val="8"/>
            <rFont val="Tahoma"/>
            <family val="0"/>
          </rPr>
          <t xml:space="preserve">
In theory,where baffle step would begin:  from the center of the driver to the edge of the baffle.</t>
        </r>
      </text>
    </comment>
    <comment ref="M20" authorId="0">
      <text>
        <r>
          <rPr>
            <sz val="10"/>
            <rFont val="Tahoma"/>
            <family val="2"/>
          </rPr>
          <t xml:space="preserve">The midrange to woofer ideal crossover freq, calculating null frequencies due to floor bounce.  
Listening height = Driver 1 height
Also note full calculator for this on the "Floor Bounce Effects" tab.
</t>
        </r>
      </text>
    </comment>
    <comment ref="N20" authorId="0">
      <text>
        <r>
          <rPr>
            <sz val="10"/>
            <rFont val="Tahoma"/>
            <family val="2"/>
          </rPr>
          <t xml:space="preserve">Distance from speaker to listener in inches for the "Crossover Ideal" calculation.  
5' = 60"   = 1.52m
6' = 72"   = 1.83m
7' = 84"   = 2.13m 
8' = 96"   = 2.44m
9' = 108"  = 2.74m
</t>
        </r>
      </text>
    </comment>
    <comment ref="F63" authorId="0">
      <text>
        <r>
          <rPr>
            <sz val="8"/>
            <rFont val="Tahoma"/>
            <family val="2"/>
          </rPr>
          <t xml:space="preserve">Remember to make a left and a right.  </t>
        </r>
      </text>
    </comment>
  </commentList>
</comments>
</file>

<file path=xl/comments2.xml><?xml version="1.0" encoding="utf-8"?>
<comments xmlns="http://schemas.openxmlformats.org/spreadsheetml/2006/main">
  <authors>
    <author>smithpj</author>
  </authors>
  <commentList>
    <comment ref="D11" authorId="0">
      <text>
        <r>
          <rPr>
            <sz val="8"/>
            <rFont val="Tahoma"/>
            <family val="0"/>
          </rPr>
          <t xml:space="preserve">1130 is right for most applications
</t>
        </r>
      </text>
    </comment>
    <comment ref="D64" authorId="0">
      <text>
        <r>
          <rPr>
            <b/>
            <sz val="8"/>
            <rFont val="Tahoma"/>
            <family val="0"/>
          </rPr>
          <t>Adjust sliders to get this to zero</t>
        </r>
      </text>
    </comment>
    <comment ref="D97" authorId="0">
      <text>
        <r>
          <rPr>
            <sz val="8"/>
            <rFont val="Tahoma"/>
            <family val="2"/>
          </rPr>
          <t xml:space="preserve">
Don't write me about this one either.  It is for general understanding of woofer size and range.  
I am sure there are lots of exceptions, esp really cheap woofers and really expensive woofers.  :)
</t>
        </r>
      </text>
    </comment>
    <comment ref="H75" authorId="0">
      <text>
        <r>
          <rPr>
            <sz val="8"/>
            <rFont val="Tahoma"/>
            <family val="0"/>
          </rPr>
          <t xml:space="preserve">
I know someone is going to write me to say this is stupid.  But consider all the work to tune two 7" woofers, the acoustic centers, the cross over, weird alignment issues, amount of crossover components.  Consider this against just buying a larger driver!
</t>
        </r>
      </text>
    </comment>
    <comment ref="H68" authorId="0">
      <text>
        <r>
          <rPr>
            <sz val="8"/>
            <rFont val="Tahoma"/>
            <family val="2"/>
          </rPr>
          <t xml:space="preserve">As long was we are here, might as well note the amount the port will take, in volume, from the cabinet calculation.
Don't forget to add a little for the mass of the port material.  </t>
        </r>
      </text>
    </comment>
    <comment ref="G123" authorId="0">
      <text>
        <r>
          <rPr>
            <sz val="8"/>
            <rFont val="Tahoma"/>
            <family val="2"/>
          </rPr>
          <t xml:space="preserve">This is for general use.  I did not include vertical lines because I don't want people writing to tell me the French tune their basses lower or a really good soprano can go higher.  
Also, all instruments have harmonics above and below the listed ranges.  
</t>
        </r>
      </text>
    </comment>
  </commentList>
</comments>
</file>

<file path=xl/comments3.xml><?xml version="1.0" encoding="utf-8"?>
<comments xmlns="http://schemas.openxmlformats.org/spreadsheetml/2006/main">
  <authors>
    <author>smithpj</author>
  </authors>
  <commentList>
    <comment ref="A14" authorId="0">
      <text>
        <r>
          <rPr>
            <sz val="8"/>
            <rFont val="Tahoma"/>
            <family val="2"/>
          </rPr>
          <t xml:space="preserve">
This is the incremental path length to account for the depth of the woofer's acoustic center compared to the midrange acoustic center.  
An offset of zero means the woofer and midrange are aligned. An offset of +two means the woofer acoustic center is two inches behind the midrange acoustic center." 
</t>
        </r>
      </text>
    </comment>
    <comment ref="F9" authorId="0">
      <text>
        <r>
          <rPr>
            <sz val="8"/>
            <rFont val="Tahoma"/>
            <family val="2"/>
          </rPr>
          <t xml:space="preserve">
Yes, we know y'all in the metric world know how to do the math because your schools are so much better than ours, but sometimes it is best to see the visual cue for distance without having to think.  
You are lucky I didn't put this in Arpents or Pyads.  
</t>
        </r>
      </text>
    </comment>
  </commentList>
</comments>
</file>

<file path=xl/comments5.xml><?xml version="1.0" encoding="utf-8"?>
<comments xmlns="http://schemas.openxmlformats.org/spreadsheetml/2006/main">
  <authors>
    <author>smithpj</author>
  </authors>
  <commentList>
    <comment ref="A20" authorId="0">
      <text>
        <r>
          <rPr>
            <b/>
            <sz val="8"/>
            <rFont val="Tahoma"/>
            <family val="0"/>
          </rPr>
          <t>smithpj:</t>
        </r>
        <r>
          <rPr>
            <sz val="8"/>
            <rFont val="Tahoma"/>
            <family val="0"/>
          </rPr>
          <t xml:space="preserve">
This would be total driver volume, outside a box in open air.  Also would be the number if mounted behind the baffle.  
</t>
        </r>
      </text>
    </comment>
    <comment ref="A26" authorId="0">
      <text>
        <r>
          <rPr>
            <sz val="8"/>
            <rFont val="Tahoma"/>
            <family val="0"/>
          </rPr>
          <t xml:space="preserve">This would be if the driver were mounted on the front of the baffle and flush mounted.  </t>
        </r>
      </text>
    </comment>
    <comment ref="A23" authorId="0">
      <text>
        <r>
          <rPr>
            <sz val="8"/>
            <rFont val="Tahoma"/>
            <family val="0"/>
          </rPr>
          <t xml:space="preserve">This would be if the driver were mounted on front of the baffle with no flush mount.  </t>
        </r>
      </text>
    </comment>
  </commentList>
</comments>
</file>

<file path=xl/sharedStrings.xml><?xml version="1.0" encoding="utf-8"?>
<sst xmlns="http://schemas.openxmlformats.org/spreadsheetml/2006/main" count="417" uniqueCount="275">
  <si>
    <t>x</t>
  </si>
  <si>
    <t>y</t>
  </si>
  <si>
    <t>z</t>
  </si>
  <si>
    <t>h</t>
  </si>
  <si>
    <t>xp</t>
  </si>
  <si>
    <t>yp</t>
  </si>
  <si>
    <t>w</t>
  </si>
  <si>
    <t>d</t>
  </si>
  <si>
    <t>ypp</t>
  </si>
  <si>
    <t>3-D</t>
  </si>
  <si>
    <t>Front View</t>
  </si>
  <si>
    <t>Side View</t>
  </si>
  <si>
    <t>side view x-shift</t>
  </si>
  <si>
    <t xml:space="preserve">       </t>
  </si>
  <si>
    <t>bt</t>
  </si>
  <si>
    <t>ft</t>
  </si>
  <si>
    <t>rt</t>
  </si>
  <si>
    <t>tt</t>
  </si>
  <si>
    <t>st</t>
  </si>
  <si>
    <t>lt</t>
  </si>
  <si>
    <t>cu.ft</t>
  </si>
  <si>
    <t>litres</t>
  </si>
  <si>
    <t>Front</t>
  </si>
  <si>
    <t>Volume=</t>
  </si>
  <si>
    <t>Front Panel Dimensions</t>
  </si>
  <si>
    <t>Rear Panel Dimensions</t>
  </si>
  <si>
    <t>Top Panel Dimensions</t>
  </si>
  <si>
    <t>Bottom Panel Dimensions</t>
  </si>
  <si>
    <t>Side Panel Dimensions</t>
  </si>
  <si>
    <t>Total Volume=</t>
  </si>
  <si>
    <t>liters</t>
  </si>
  <si>
    <t>Density of Material</t>
  </si>
  <si>
    <t>Total Weight</t>
  </si>
  <si>
    <t>Width</t>
  </si>
  <si>
    <t>Height</t>
  </si>
  <si>
    <t>Depth</t>
  </si>
  <si>
    <t>Rear</t>
  </si>
  <si>
    <t>Sides</t>
  </si>
  <si>
    <t>Offset</t>
  </si>
  <si>
    <t>Diameter</t>
  </si>
  <si>
    <t>Volume (Internal)</t>
  </si>
  <si>
    <t>Volume (External)</t>
  </si>
  <si>
    <t>gr/cm3</t>
  </si>
  <si>
    <t>kg</t>
  </si>
  <si>
    <t>Side Panels</t>
  </si>
  <si>
    <t>Thickness</t>
  </si>
  <si>
    <t>Boxy Cad</t>
  </si>
  <si>
    <t>Project:</t>
  </si>
  <si>
    <t>Total Sq.ft</t>
  </si>
  <si>
    <t>Bracing</t>
  </si>
  <si>
    <t>Name here</t>
  </si>
  <si>
    <t>Pounds</t>
  </si>
  <si>
    <t>cf^3</t>
  </si>
  <si>
    <t>Liters</t>
  </si>
  <si>
    <t xml:space="preserve">Wave </t>
  </si>
  <si>
    <t>Octaves</t>
  </si>
  <si>
    <t>Hertz</t>
  </si>
  <si>
    <t>Length</t>
  </si>
  <si>
    <t>Feet</t>
  </si>
  <si>
    <t>Inches</t>
  </si>
  <si>
    <t>Qty</t>
  </si>
  <si>
    <t>Top/Bottom Panels</t>
  </si>
  <si>
    <t>Front/Rear Baffles</t>
  </si>
  <si>
    <t>Full length</t>
  </si>
  <si>
    <t>Shelf</t>
  </si>
  <si>
    <t xml:space="preserve">    (5x8 Sheet is 40sq ft - 60"x96")</t>
  </si>
  <si>
    <t>offset</t>
  </si>
  <si>
    <t>Golden ratio &gt;</t>
  </si>
  <si>
    <t>cm</t>
  </si>
  <si>
    <t>Bill of Materials</t>
  </si>
  <si>
    <t>Qty/spkr</t>
  </si>
  <si>
    <t xml:space="preserve">For </t>
  </si>
  <si>
    <t>Speakers</t>
  </si>
  <si>
    <t>Qty  X</t>
  </si>
  <si>
    <t>Long side</t>
  </si>
  <si>
    <t>Top/Bottom</t>
  </si>
  <si>
    <t>Short side</t>
  </si>
  <si>
    <t>Series</t>
  </si>
  <si>
    <t>Parallel</t>
  </si>
  <si>
    <t>1 mH    +    1 mH   =   2 mH</t>
  </si>
  <si>
    <t>3 uf       +    3 uf     =   1.5 uf</t>
  </si>
  <si>
    <t>10 Ohm + 10 Ohm  =  20 Ohm</t>
  </si>
  <si>
    <t>1 mH    +    1 mH   =   .5 mH</t>
  </si>
  <si>
    <t>3 uf       +    3 uf     =   6 uf</t>
  </si>
  <si>
    <t>10 Ohm + 10 Ohm  =  5 Ohm</t>
  </si>
  <si>
    <t xml:space="preserve">  +       Y</t>
  </si>
  <si>
    <t xml:space="preserve"> =    total</t>
  </si>
  <si>
    <t xml:space="preserve">X </t>
  </si>
  <si>
    <t>Inductor</t>
  </si>
  <si>
    <t>Cap</t>
  </si>
  <si>
    <t>Resistor</t>
  </si>
  <si>
    <t xml:space="preserve">        1/8" = .125</t>
  </si>
  <si>
    <t xml:space="preserve">   Total Box Weight</t>
  </si>
  <si>
    <t xml:space="preserve">     Material Density</t>
  </si>
  <si>
    <t xml:space="preserve">      Wall Thickness (Inches)</t>
  </si>
  <si>
    <t xml:space="preserve">      Bracing</t>
  </si>
  <si>
    <t xml:space="preserve">      Outside Box Dimensions (Inches)</t>
  </si>
  <si>
    <t>inches</t>
  </si>
  <si>
    <t>Notes</t>
  </si>
  <si>
    <t>Credits:</t>
  </si>
  <si>
    <t>Feedback:</t>
  </si>
  <si>
    <t>Disclaimer:</t>
  </si>
  <si>
    <t>FOR THE PROGRAM, TO THE EXTENT PERMITTED BY APPLICABLE LAW.  EXCEPT WHEN</t>
  </si>
  <si>
    <t>OTHERWISE STATED IN WRITING THE COPYRIGHT HOLDERS AND/OR OTHER PARTIES</t>
  </si>
  <si>
    <t>PROVIDE THE PROGRAM "AS IS" WITHOUT WARRANTY OF ANY KIND, EITHER EXPRESSED</t>
  </si>
  <si>
    <t>OR IMPLIED, INCLUDING, BUT NOT LIMITED TO, THE IMPLIED WARRANTIES OF</t>
  </si>
  <si>
    <t>MERCHANTABILITY AND FITNESS FOR A PARTICULAR PURPOSE.  THE ENTIRE RISK AS</t>
  </si>
  <si>
    <t>TO THE QUALITY AND PERFORMANCE OF THE PROGRAM IS WITH YOU.  SHOULD THE</t>
  </si>
  <si>
    <t>PROGRAM PROVE DEFECTIVE, YOU ASSUME THE COST OF ALL NECESSARY SERVICING,</t>
  </si>
  <si>
    <t>REPAIR OR CORRECTION.</t>
  </si>
  <si>
    <t>YOU CAN USE THE PROGRAM FREELY BUT THERE IS NO WARRANTY</t>
  </si>
  <si>
    <t xml:space="preserve">     Driver Size and Placement Control</t>
  </si>
  <si>
    <t xml:space="preserve">  Efficiency Conversions</t>
  </si>
  <si>
    <t xml:space="preserve">  Component Conversion</t>
  </si>
  <si>
    <t xml:space="preserve">  Length Converter</t>
  </si>
  <si>
    <t xml:space="preserve"> Volume Converter</t>
  </si>
  <si>
    <t xml:space="preserve">  Frequency Calculator</t>
  </si>
  <si>
    <t># of driver connected in series</t>
  </si>
  <si>
    <t>n</t>
  </si>
  <si>
    <t># of parallel branches</t>
  </si>
  <si>
    <t>m</t>
  </si>
  <si>
    <t>Total Power</t>
  </si>
  <si>
    <t>Total Impedance</t>
  </si>
  <si>
    <t>Impedance of the driver</t>
  </si>
  <si>
    <t>SPL Difference</t>
  </si>
  <si>
    <t>Many thanks to Peter Smith (PJay) for improving the user-friendliness of the interface and adding various tools and features like the conversion tools and driver spacings.</t>
  </si>
  <si>
    <t>Low Pass</t>
  </si>
  <si>
    <t>High Pass</t>
  </si>
  <si>
    <t>Crossover Frequency</t>
  </si>
  <si>
    <t>Inductance mH (milliHenry)</t>
  </si>
  <si>
    <t>Capacitance uF (microFarad)</t>
  </si>
  <si>
    <t>8 Ohms</t>
  </si>
  <si>
    <t>4 Ohms</t>
  </si>
  <si>
    <t>2 Ohms</t>
  </si>
  <si>
    <t>Driver 1</t>
  </si>
  <si>
    <t>Driver 2</t>
  </si>
  <si>
    <t>Driver 3</t>
  </si>
  <si>
    <t>Driver 4</t>
  </si>
  <si>
    <t>drv - drv</t>
  </si>
  <si>
    <t>Relief</t>
  </si>
  <si>
    <t>Acoustic</t>
  </si>
  <si>
    <t>Inside dimensions</t>
  </si>
  <si>
    <t>Centers</t>
  </si>
  <si>
    <t>Baffle Width in Hz &gt;</t>
  </si>
  <si>
    <t xml:space="preserve">   Driver Height</t>
  </si>
  <si>
    <t xml:space="preserve">     Volume</t>
  </si>
  <si>
    <t xml:space="preserve">     Internal</t>
  </si>
  <si>
    <t>Sample Rate/sec:</t>
  </si>
  <si>
    <t>Distance per sample</t>
  </si>
  <si>
    <t>Sample Rate Converter</t>
  </si>
  <si>
    <t>Length in Feet</t>
  </si>
  <si>
    <t>Length in Inches</t>
  </si>
  <si>
    <t>Samples to "echo"</t>
  </si>
  <si>
    <t>This is to convert LspCAD time domain tics into distance and Hertz.  LspCAD time domain tic marks are in samples.  So if you have an "echo" in the time domain, you can calc how far the "echo" is from the mic using this converter.</t>
  </si>
  <si>
    <t>Top</t>
  </si>
  <si>
    <t>Bottom</t>
  </si>
  <si>
    <t xml:space="preserve"> + Kerfs</t>
  </si>
  <si>
    <t>These graphs supplied by www.loundspeakers101.com     Used by permission.</t>
  </si>
  <si>
    <t>shortest side</t>
  </si>
  <si>
    <t>Driver</t>
  </si>
  <si>
    <t>Speed of sound &gt;&gt;</t>
  </si>
  <si>
    <r>
      <t>Hint:</t>
    </r>
    <r>
      <rPr>
        <sz val="10"/>
        <color indexed="62"/>
        <rFont val="Arial"/>
        <family val="2"/>
      </rPr>
      <t xml:space="preserve">  Build the top/bottom/sides as a box and let dry.  Cut the baffles oversize by about 1/2 inch and glue on with overhand on all sides.  Use a flush trim blade to bring the baffles square with the other panels.                                                    </t>
    </r>
  </si>
  <si>
    <t>sq inches</t>
  </si>
  <si>
    <t>Round diameter</t>
  </si>
  <si>
    <t>Round length</t>
  </si>
  <si>
    <t>variance   &gt;&gt;</t>
  </si>
  <si>
    <t>Square area  &gt;&gt;</t>
  </si>
  <si>
    <t>sq cm</t>
  </si>
  <si>
    <t>( 1/2 sheet is 60" x 48" )</t>
  </si>
  <si>
    <t>Port area</t>
  </si>
  <si>
    <t>cubic cm</t>
  </si>
  <si>
    <t>cubic inch</t>
  </si>
  <si>
    <t>Determines the midrange and woofer null frequencies due to floor bounce</t>
  </si>
  <si>
    <t>Calculates the optimum crossover frequency based on driver heights</t>
  </si>
  <si>
    <t>English</t>
  </si>
  <si>
    <t>Metric</t>
  </si>
  <si>
    <t>Listening Ht</t>
  </si>
  <si>
    <t>in</t>
  </si>
  <si>
    <t>mm</t>
  </si>
  <si>
    <t>Listening Dist</t>
  </si>
  <si>
    <t>Midrange Ht</t>
  </si>
  <si>
    <t>Woofer Ht</t>
  </si>
  <si>
    <t>Midrange Fb</t>
  </si>
  <si>
    <t>Hz</t>
  </si>
  <si>
    <t>Woofer Fb</t>
  </si>
  <si>
    <t>Desired Fxo</t>
  </si>
  <si>
    <t>Crossover frequency is the geometric mean of the midrange and woofer floor bounce nulls.</t>
  </si>
  <si>
    <t>v</t>
  </si>
  <si>
    <t>Bnc2</t>
  </si>
  <si>
    <t>P2</t>
  </si>
  <si>
    <t>Bnc1</t>
  </si>
  <si>
    <t>P1</t>
  </si>
  <si>
    <t>D1</t>
  </si>
  <si>
    <t>delta path</t>
  </si>
  <si>
    <t>Crossover</t>
  </si>
  <si>
    <t>Ideal</t>
  </si>
  <si>
    <t>Woofer Offset</t>
  </si>
  <si>
    <t>Inch</t>
  </si>
  <si>
    <t>Listening Height</t>
  </si>
  <si>
    <t>Listening Distance</t>
  </si>
  <si>
    <t>Midrange Height</t>
  </si>
  <si>
    <t>Woofer Height</t>
  </si>
  <si>
    <t>Midrange Floor bounce</t>
  </si>
  <si>
    <t>Woofer Floor bounce</t>
  </si>
  <si>
    <t>This is the same calculation used on the main sheet, but allows adjustment of all parameters</t>
  </si>
  <si>
    <t>Driver 2 to driver 3</t>
  </si>
  <si>
    <t>inch</t>
  </si>
  <si>
    <t>Port length remains constant, round to square.</t>
  </si>
  <si>
    <t>Sq cm</t>
  </si>
  <si>
    <t>Sq inches</t>
  </si>
  <si>
    <t>Area</t>
  </si>
  <si>
    <t>Common</t>
  </si>
  <si>
    <t>Driver Diameters</t>
  </si>
  <si>
    <t>Two drivers</t>
  </si>
  <si>
    <t>This table compares the area of using two small drivers to using one larger driver.</t>
  </si>
  <si>
    <t>From this table, you can see that a 10" has more area than two 7" drivers.</t>
  </si>
  <si>
    <t>Note that square ports may not act similar to round ports due to shape and proximity to internal cabinet edges.</t>
  </si>
  <si>
    <t>Floor Bounce and Crossover Point Calculator</t>
  </si>
  <si>
    <t>Slide</t>
  </si>
  <si>
    <t>Recommended Crossover Frequency</t>
  </si>
  <si>
    <t xml:space="preserve">This calculates diameter area, but not surface area of the piston.  </t>
  </si>
  <si>
    <t>Port Conversion  -  Round to Slot</t>
  </si>
  <si>
    <t>Please report any errors or improvement ideas to yavuzaksan@yahoo.com Or Pjay at Pjay99@aol.com. You are welcome to join us develop this further for the DIY community</t>
  </si>
  <si>
    <t>Liters Vol displaced</t>
  </si>
  <si>
    <t xml:space="preserve">Thanks to Murray Hauschild for putting this page together!  (MGH on the boards) </t>
  </si>
  <si>
    <t>Listening</t>
  </si>
  <si>
    <t>Distance</t>
  </si>
  <si>
    <t>Baffle Thickness</t>
  </si>
  <si>
    <t>Cone Ht</t>
  </si>
  <si>
    <t>Cone Vol</t>
  </si>
  <si>
    <t>Liter</t>
  </si>
  <si>
    <t>cu in</t>
  </si>
  <si>
    <t>Magnet Vol</t>
  </si>
  <si>
    <t>Surface Mount (Vol Gain)</t>
  </si>
  <si>
    <t>Flush Mount (Vol Gain)</t>
  </si>
  <si>
    <t xml:space="preserve">This sheet calculates the total volume of the driver to deduct from the cabinet volume.  </t>
  </si>
  <si>
    <t>Driver Volume Calculator</t>
  </si>
  <si>
    <t>This sheet is not connected/linked to any other tab.</t>
  </si>
  <si>
    <t xml:space="preserve">Driver  &gt;&gt;   </t>
  </si>
  <si>
    <t>Baffle Hole Diameter</t>
  </si>
  <si>
    <t>Driver OD             Dim = A</t>
  </si>
  <si>
    <t>Cone Diameter     Dim = B</t>
  </si>
  <si>
    <t>Driver Height        Dim = C</t>
  </si>
  <si>
    <t>Magnet Diameter  Dim = D</t>
  </si>
  <si>
    <t>Magnet Height      Dim = E</t>
  </si>
  <si>
    <t xml:space="preserve">Basket rim </t>
  </si>
  <si>
    <t>Front Mount Net Displacement</t>
  </si>
  <si>
    <t>Flush Mount Net Displacement</t>
  </si>
  <si>
    <t>cu inch</t>
  </si>
  <si>
    <t>cu feet</t>
  </si>
  <si>
    <t xml:space="preserve">Super duper </t>
  </si>
  <si>
    <t xml:space="preserve">Total Driver Displacement </t>
  </si>
  <si>
    <t>Unlocked work space</t>
  </si>
  <si>
    <t>Version 1.1  6/20/06</t>
  </si>
  <si>
    <t>Meter</t>
  </si>
  <si>
    <t>Woofer Alignment (fwd)</t>
  </si>
  <si>
    <t>Port Volume Deduction</t>
  </si>
  <si>
    <t>General woofer sizing chart</t>
  </si>
  <si>
    <t>Unlocked work area</t>
  </si>
  <si>
    <t>Bottom of page</t>
  </si>
  <si>
    <t>cf^3 Vol displaced</t>
  </si>
  <si>
    <t xml:space="preserve">     inch conversion</t>
  </si>
  <si>
    <t>diameter</t>
  </si>
  <si>
    <t>length</t>
  </si>
  <si>
    <t xml:space="preserve">face area </t>
  </si>
  <si>
    <t>General frequency ranges of common instruments and voice</t>
  </si>
  <si>
    <t>notes</t>
  </si>
  <si>
    <t>Y.Aksan          Peter Smith</t>
  </si>
  <si>
    <t>feet</t>
  </si>
  <si>
    <t xml:space="preserve">Driver 1 center location </t>
  </si>
  <si>
    <t>Driver 2 center location</t>
  </si>
  <si>
    <t>Driver 3 center location</t>
  </si>
  <si>
    <t>from top</t>
  </si>
  <si>
    <t>from bottom</t>
  </si>
  <si>
    <t>Vertical Center Line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</si>
</sst>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 ?/8"/>
    <numFmt numFmtId="172" formatCode="_(* #,##0.0_);_(* \(#,##0.0\);_(* &quot;-&quot;?_);_(@_)"/>
    <numFmt numFmtId="173" formatCode="#,##0.0_);\(#,##0.0\)"/>
    <numFmt numFmtId="174" formatCode="_(* #,##0.0_);_(* \(#,##0.0\);_(* &quot;-&quot;??_);_(@_)"/>
    <numFmt numFmtId="175" formatCode="#\ ??/16"/>
    <numFmt numFmtId="176" formatCode="&quot;Yes&quot;;&quot;Yes&quot;;&quot;No&quot;"/>
    <numFmt numFmtId="177" formatCode="&quot;True&quot;;&quot;True&quot;;&quot;False&quot;"/>
    <numFmt numFmtId="178" formatCode="&quot;On&quot;;&quot;On&quot;;&quot;Off&quot;"/>
    <numFmt numFmtId="179" formatCode="mm/dd/yy"/>
    <numFmt numFmtId="180" formatCode="&quot;+&quot;\ 0.0"/>
    <numFmt numFmtId="181" formatCode="&quot;x&quot;\ General"/>
    <numFmt numFmtId="182" formatCode="&quot;+&quot;\ General\ &quot;db&quot;"/>
    <numFmt numFmtId="183" formatCode="&quot;+&quot;\ 0.0\ &quot;db&quot;"/>
    <numFmt numFmtId="184" formatCode="0.0\ &quot;Ohms&quot;"/>
    <numFmt numFmtId="185" formatCode="&quot;x&quot;\ 0.0"/>
    <numFmt numFmtId="186" formatCode="&quot;x&quot;\ 0.00"/>
    <numFmt numFmtId="187" formatCode="_(* #,##0_);_(* \(#,##0\);_(* &quot;-&quot;??_);_(@_)"/>
    <numFmt numFmtId="188" formatCode="0.0%"/>
    <numFmt numFmtId="189" formatCode="#,##0.0_);[Red]\(#,##0.0\)"/>
    <numFmt numFmtId="190" formatCode="0.00_)"/>
    <numFmt numFmtId="191" formatCode="0.0_)"/>
    <numFmt numFmtId="192" formatCode="0_)"/>
    <numFmt numFmtId="193" formatCode="_(* #,##0.000_);_(* \(#,##0.000\);_(* &quot;-&quot;??_);_(@_)"/>
    <numFmt numFmtId="194" formatCode="0.000_)"/>
    <numFmt numFmtId="195" formatCode="#\ ?/2"/>
    <numFmt numFmtId="196" formatCode="#\ ?/4"/>
  </numFmts>
  <fonts count="61">
    <font>
      <sz val="10"/>
      <name val="Arial"/>
      <family val="0"/>
    </font>
    <font>
      <u val="single"/>
      <sz val="10"/>
      <color indexed="12"/>
      <name val="Arial"/>
      <family val="0"/>
    </font>
    <font>
      <u val="single"/>
      <sz val="10"/>
      <color indexed="36"/>
      <name val="Arial"/>
      <family val="0"/>
    </font>
    <font>
      <b/>
      <sz val="10"/>
      <name val="Arial"/>
      <family val="2"/>
    </font>
    <font>
      <sz val="8.25"/>
      <name val="Arial"/>
      <family val="0"/>
    </font>
    <font>
      <sz val="8"/>
      <name val="Arial"/>
      <family val="0"/>
    </font>
    <font>
      <sz val="10"/>
      <color indexed="23"/>
      <name val="Arial"/>
      <family val="2"/>
    </font>
    <font>
      <b/>
      <sz val="10"/>
      <color indexed="9"/>
      <name val="Arial"/>
      <family val="2"/>
    </font>
    <font>
      <sz val="10"/>
      <color indexed="9"/>
      <name val="Arial"/>
      <family val="2"/>
    </font>
    <font>
      <sz val="8.75"/>
      <name val="Arial"/>
      <family val="0"/>
    </font>
    <font>
      <sz val="10"/>
      <color indexed="55"/>
      <name val="Arial"/>
      <family val="2"/>
    </font>
    <font>
      <b/>
      <sz val="10"/>
      <color indexed="17"/>
      <name val="Arial"/>
      <family val="2"/>
    </font>
    <font>
      <b/>
      <sz val="10"/>
      <color indexed="10"/>
      <name val="Arial"/>
      <family val="2"/>
    </font>
    <font>
      <b/>
      <sz val="16"/>
      <name val="Arial"/>
      <family val="2"/>
    </font>
    <font>
      <b/>
      <sz val="8"/>
      <name val="Tahoma"/>
      <family val="0"/>
    </font>
    <font>
      <sz val="8"/>
      <name val="Tahoma"/>
      <family val="0"/>
    </font>
    <font>
      <b/>
      <sz val="11"/>
      <color indexed="17"/>
      <name val="Arial"/>
      <family val="2"/>
    </font>
    <font>
      <b/>
      <sz val="12"/>
      <color indexed="9"/>
      <name val="Arial"/>
      <family val="2"/>
    </font>
    <font>
      <b/>
      <sz val="16"/>
      <color indexed="8"/>
      <name val="Arial"/>
      <family val="2"/>
    </font>
    <font>
      <b/>
      <sz val="12"/>
      <name val="Arial"/>
      <family val="2"/>
    </font>
    <font>
      <sz val="11"/>
      <name val="Arial"/>
      <family val="2"/>
    </font>
    <font>
      <sz val="10"/>
      <color indexed="22"/>
      <name val="Arial"/>
      <family val="0"/>
    </font>
    <font>
      <b/>
      <sz val="10"/>
      <color indexed="22"/>
      <name val="Arial"/>
      <family val="2"/>
    </font>
    <font>
      <sz val="8"/>
      <color indexed="10"/>
      <name val="Arial"/>
      <family val="2"/>
    </font>
    <font>
      <sz val="10"/>
      <name val="Arial Unicode MS"/>
      <family val="0"/>
    </font>
    <font>
      <sz val="10"/>
      <color indexed="62"/>
      <name val="Arial"/>
      <family val="2"/>
    </font>
    <font>
      <b/>
      <sz val="18"/>
      <color indexed="43"/>
      <name val="Comic Sans MS"/>
      <family val="4"/>
    </font>
    <font>
      <b/>
      <sz val="11"/>
      <name val="Arial"/>
      <family val="2"/>
    </font>
    <font>
      <b/>
      <sz val="12"/>
      <color indexed="17"/>
      <name val="Arial"/>
      <family val="2"/>
    </font>
    <font>
      <sz val="10"/>
      <color indexed="26"/>
      <name val="Arial"/>
      <family val="2"/>
    </font>
    <font>
      <b/>
      <sz val="10"/>
      <color indexed="26"/>
      <name val="Comic Sans MS"/>
      <family val="4"/>
    </font>
    <font>
      <sz val="12"/>
      <color indexed="26"/>
      <name val="Comic Sans MS"/>
      <family val="4"/>
    </font>
    <font>
      <b/>
      <sz val="14"/>
      <color indexed="26"/>
      <name val="Arial"/>
      <family val="2"/>
    </font>
    <font>
      <b/>
      <sz val="12"/>
      <color indexed="26"/>
      <name val="Arial"/>
      <family val="2"/>
    </font>
    <font>
      <b/>
      <sz val="10"/>
      <color indexed="26"/>
      <name val="Arial"/>
      <family val="2"/>
    </font>
    <font>
      <sz val="12"/>
      <color indexed="26"/>
      <name val="Arial"/>
      <family val="2"/>
    </font>
    <font>
      <b/>
      <sz val="12"/>
      <color indexed="62"/>
      <name val="Arial"/>
      <family val="2"/>
    </font>
    <font>
      <b/>
      <sz val="18"/>
      <color indexed="26"/>
      <name val="Comic Sans MS"/>
      <family val="4"/>
    </font>
    <font>
      <sz val="9"/>
      <color indexed="43"/>
      <name val="Arial"/>
      <family val="2"/>
    </font>
    <font>
      <b/>
      <sz val="10"/>
      <color indexed="62"/>
      <name val="Arial"/>
      <family val="2"/>
    </font>
    <font>
      <b/>
      <sz val="11"/>
      <color indexed="10"/>
      <name val="Arial"/>
      <family val="2"/>
    </font>
    <font>
      <sz val="11"/>
      <color indexed="55"/>
      <name val="Arial"/>
      <family val="2"/>
    </font>
    <font>
      <sz val="11"/>
      <color indexed="17"/>
      <name val="Arial"/>
      <family val="2"/>
    </font>
    <font>
      <b/>
      <sz val="14"/>
      <name val="Arial"/>
      <family val="2"/>
    </font>
    <font>
      <b/>
      <sz val="10"/>
      <color indexed="9"/>
      <name val="Verdana"/>
      <family val="2"/>
    </font>
    <font>
      <sz val="10"/>
      <name val="Verdana"/>
      <family val="2"/>
    </font>
    <font>
      <sz val="10"/>
      <color indexed="8"/>
      <name val="Verdana"/>
      <family val="2"/>
    </font>
    <font>
      <b/>
      <sz val="12"/>
      <color indexed="9"/>
      <name val="Verdana"/>
      <family val="2"/>
    </font>
    <font>
      <b/>
      <sz val="12"/>
      <color indexed="10"/>
      <name val="Arial"/>
      <family val="2"/>
    </font>
    <font>
      <b/>
      <sz val="11"/>
      <color indexed="55"/>
      <name val="Arial"/>
      <family val="2"/>
    </font>
    <font>
      <sz val="10"/>
      <color indexed="17"/>
      <name val="Arial"/>
      <family val="2"/>
    </font>
    <font>
      <b/>
      <sz val="16"/>
      <color indexed="17"/>
      <name val="Arial"/>
      <family val="2"/>
    </font>
    <font>
      <b/>
      <sz val="8"/>
      <color indexed="17"/>
      <name val="Arial"/>
      <family val="2"/>
    </font>
    <font>
      <b/>
      <sz val="8"/>
      <color indexed="10"/>
      <name val="Arial"/>
      <family val="2"/>
    </font>
    <font>
      <b/>
      <sz val="14"/>
      <color indexed="55"/>
      <name val="Arial"/>
      <family val="2"/>
    </font>
    <font>
      <sz val="11"/>
      <color indexed="8"/>
      <name val="Arial"/>
      <family val="2"/>
    </font>
    <font>
      <sz val="10"/>
      <color indexed="10"/>
      <name val="Arial"/>
      <family val="2"/>
    </font>
    <font>
      <sz val="10"/>
      <color indexed="54"/>
      <name val="Arial"/>
      <family val="0"/>
    </font>
    <font>
      <sz val="10"/>
      <name val="Tahoma"/>
      <family val="2"/>
    </font>
    <font>
      <b/>
      <sz val="14"/>
      <color indexed="9"/>
      <name val="Arial"/>
      <family val="2"/>
    </font>
    <font>
      <b/>
      <sz val="8"/>
      <name val="Arial"/>
      <family val="2"/>
    </font>
  </fonts>
  <fills count="11">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s>
  <borders count="16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medium">
        <color indexed="23"/>
      </left>
      <right style="thin">
        <color indexed="23"/>
      </right>
      <top style="thin">
        <color indexed="23"/>
      </top>
      <bottom style="thin">
        <color indexed="23"/>
      </bottom>
    </border>
    <border>
      <left style="thin">
        <color indexed="23"/>
      </left>
      <right style="medium">
        <color indexed="9"/>
      </right>
      <top style="thin">
        <color indexed="23"/>
      </top>
      <bottom style="thin">
        <color indexed="23"/>
      </bottom>
    </border>
    <border>
      <left style="medium">
        <color indexed="23"/>
      </left>
      <right style="thin">
        <color indexed="23"/>
      </right>
      <top style="thin">
        <color indexed="23"/>
      </top>
      <bottom style="medium">
        <color indexed="9"/>
      </bottom>
    </border>
    <border>
      <left style="thin">
        <color indexed="23"/>
      </left>
      <right style="thin">
        <color indexed="23"/>
      </right>
      <top style="thin">
        <color indexed="23"/>
      </top>
      <bottom style="medium">
        <color indexed="9"/>
      </bottom>
    </border>
    <border>
      <left style="thin">
        <color indexed="23"/>
      </left>
      <right style="medium">
        <color indexed="9"/>
      </right>
      <top style="thin">
        <color indexed="23"/>
      </top>
      <bottom style="medium">
        <color indexed="9"/>
      </bottom>
    </border>
    <border>
      <left style="thin">
        <color indexed="23"/>
      </left>
      <right style="thin">
        <color indexed="23"/>
      </right>
      <top style="medium">
        <color indexed="23"/>
      </top>
      <bottom style="thin">
        <color indexed="23"/>
      </bottom>
    </border>
    <border>
      <left style="medium">
        <color indexed="23"/>
      </left>
      <right style="thin">
        <color indexed="23"/>
      </right>
      <top style="medium">
        <color indexed="23"/>
      </top>
      <bottom style="thin">
        <color indexed="23"/>
      </bottom>
    </border>
    <border>
      <left style="medium">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medium">
        <color indexed="9"/>
      </right>
      <top style="thin">
        <color indexed="23"/>
      </top>
      <bottom>
        <color indexed="63"/>
      </bottom>
    </border>
    <border>
      <left style="medium">
        <color indexed="23"/>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thin">
        <color indexed="23"/>
      </left>
      <right>
        <color indexed="63"/>
      </right>
      <top style="medium">
        <color indexed="23"/>
      </top>
      <bottom style="thin">
        <color indexed="23"/>
      </bottom>
    </border>
    <border>
      <left>
        <color indexed="63"/>
      </left>
      <right>
        <color indexed="63"/>
      </right>
      <top style="medium">
        <color indexed="23"/>
      </top>
      <bottom style="thin">
        <color indexed="23"/>
      </bottom>
    </border>
    <border>
      <left>
        <color indexed="63"/>
      </left>
      <right style="medium">
        <color indexed="9"/>
      </right>
      <top style="medium">
        <color indexed="2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medium">
        <color indexed="23"/>
      </left>
      <right>
        <color indexed="63"/>
      </right>
      <top style="thin">
        <color indexed="23"/>
      </top>
      <bottom style="thin">
        <color indexed="23"/>
      </bottom>
    </border>
    <border>
      <left style="medium">
        <color indexed="23"/>
      </left>
      <right>
        <color indexed="63"/>
      </right>
      <top style="thin">
        <color indexed="23"/>
      </top>
      <bottom style="medium">
        <color indexed="9"/>
      </bottom>
    </border>
    <border>
      <left>
        <color indexed="63"/>
      </left>
      <right style="thin">
        <color indexed="23"/>
      </right>
      <top style="medium">
        <color indexed="23"/>
      </top>
      <bottom style="medium">
        <color indexed="9"/>
      </bottom>
    </border>
    <border>
      <left style="medium">
        <color indexed="23"/>
      </left>
      <right>
        <color indexed="63"/>
      </right>
      <top style="medium">
        <color indexed="23"/>
      </top>
      <bottom style="medium">
        <color indexed="9"/>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9"/>
      </right>
      <top style="medium">
        <color indexed="23"/>
      </top>
      <bottom>
        <color indexed="63"/>
      </bottom>
    </border>
    <border>
      <left style="medium">
        <color indexed="23"/>
      </left>
      <right>
        <color indexed="63"/>
      </right>
      <top>
        <color indexed="63"/>
      </top>
      <bottom style="thin">
        <color indexed="23"/>
      </bottom>
    </border>
    <border>
      <left>
        <color indexed="63"/>
      </left>
      <right style="thin">
        <color indexed="23"/>
      </right>
      <top style="thin">
        <color indexed="23"/>
      </top>
      <bottom style="thin">
        <color indexed="23"/>
      </bottom>
    </border>
    <border>
      <left style="medium">
        <color indexed="23"/>
      </left>
      <right style="thin"/>
      <top style="medium">
        <color indexed="23"/>
      </top>
      <bottom style="thin"/>
    </border>
    <border>
      <left style="thin"/>
      <right style="thin"/>
      <top style="medium">
        <color indexed="23"/>
      </top>
      <bottom style="thin"/>
    </border>
    <border>
      <left style="thin"/>
      <right style="thin"/>
      <top style="thin"/>
      <bottom style="medium">
        <color indexed="9"/>
      </bottom>
    </border>
    <border>
      <left style="medium">
        <color indexed="23"/>
      </left>
      <right style="thin"/>
      <top style="thin"/>
      <bottom style="medium">
        <color indexed="9"/>
      </bottom>
    </border>
    <border>
      <left style="thin"/>
      <right style="medium">
        <color indexed="9"/>
      </right>
      <top style="medium">
        <color indexed="23"/>
      </top>
      <bottom style="medium">
        <color indexed="9"/>
      </bottom>
    </border>
    <border>
      <left style="medium">
        <color indexed="23"/>
      </left>
      <right>
        <color indexed="63"/>
      </right>
      <top style="medium">
        <color indexed="23"/>
      </top>
      <bottom style="thin"/>
    </border>
    <border>
      <left>
        <color indexed="63"/>
      </left>
      <right style="medium">
        <color indexed="9"/>
      </right>
      <top style="medium">
        <color indexed="23"/>
      </top>
      <bottom style="thin"/>
    </border>
    <border>
      <left>
        <color indexed="63"/>
      </left>
      <right>
        <color indexed="63"/>
      </right>
      <top style="medium">
        <color indexed="23"/>
      </top>
      <bottom style="thin"/>
    </border>
    <border>
      <left style="medium">
        <color indexed="23"/>
      </left>
      <right>
        <color indexed="63"/>
      </right>
      <top style="thin"/>
      <bottom>
        <color indexed="63"/>
      </bottom>
    </border>
    <border>
      <left style="medium"/>
      <right style="medium">
        <color indexed="9"/>
      </right>
      <top style="thin"/>
      <bottom>
        <color indexed="63"/>
      </bottom>
    </border>
    <border>
      <left style="medium">
        <color indexed="23"/>
      </left>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color indexed="9"/>
      </right>
      <top>
        <color indexed="63"/>
      </top>
      <bottom style="thin"/>
    </border>
    <border>
      <left style="thin"/>
      <right style="medium">
        <color indexed="9"/>
      </right>
      <top style="thin"/>
      <bottom style="medium">
        <color indexed="9"/>
      </bottom>
    </border>
    <border>
      <left>
        <color indexed="63"/>
      </left>
      <right style="thin"/>
      <top>
        <color indexed="63"/>
      </top>
      <bottom style="thin"/>
    </border>
    <border>
      <left style="thin"/>
      <right style="medium">
        <color indexed="9"/>
      </right>
      <top style="thin"/>
      <bottom style="thin"/>
    </border>
    <border>
      <left style="medium">
        <color indexed="23"/>
      </left>
      <right>
        <color indexed="63"/>
      </right>
      <top style="thin"/>
      <bottom style="thin"/>
    </border>
    <border>
      <left>
        <color indexed="63"/>
      </left>
      <right style="medium">
        <color indexed="9"/>
      </right>
      <top>
        <color indexed="63"/>
      </top>
      <bottom>
        <color indexed="63"/>
      </bottom>
    </border>
    <border>
      <left style="medium">
        <color indexed="23"/>
      </left>
      <right style="thin"/>
      <top style="medium">
        <color indexed="23"/>
      </top>
      <bottom style="medium">
        <color indexed="9"/>
      </bottom>
    </border>
    <border>
      <left>
        <color indexed="63"/>
      </left>
      <right>
        <color indexed="63"/>
      </right>
      <top style="thin"/>
      <bottom style="thin"/>
    </border>
    <border>
      <left>
        <color indexed="63"/>
      </left>
      <right style="thin"/>
      <top style="thin"/>
      <bottom style="thin"/>
    </border>
    <border>
      <left style="medium">
        <color indexed="23"/>
      </left>
      <right>
        <color indexed="63"/>
      </right>
      <top>
        <color indexed="63"/>
      </top>
      <bottom>
        <color indexed="63"/>
      </bottom>
    </border>
    <border>
      <left style="medium">
        <color indexed="23"/>
      </left>
      <right>
        <color indexed="63"/>
      </right>
      <top style="thin"/>
      <bottom style="medium">
        <color indexed="9"/>
      </bottom>
    </border>
    <border>
      <left>
        <color indexed="63"/>
      </left>
      <right>
        <color indexed="63"/>
      </right>
      <top style="thin"/>
      <bottom style="medium">
        <color indexed="9"/>
      </bottom>
    </border>
    <border>
      <left>
        <color indexed="63"/>
      </left>
      <right style="thin"/>
      <top style="thin"/>
      <bottom style="medium">
        <color indexed="9"/>
      </bottom>
    </border>
    <border>
      <left>
        <color indexed="63"/>
      </left>
      <right>
        <color indexed="63"/>
      </right>
      <top style="medium">
        <color indexed="23"/>
      </top>
      <bottom>
        <color indexed="63"/>
      </bottom>
    </border>
    <border>
      <left style="thin"/>
      <right>
        <color indexed="63"/>
      </right>
      <top style="thin"/>
      <bottom>
        <color indexed="63"/>
      </bottom>
    </border>
    <border>
      <left style="thin"/>
      <right style="thin"/>
      <top style="thin"/>
      <bottom>
        <color indexed="63"/>
      </bottom>
    </border>
    <border>
      <left>
        <color indexed="63"/>
      </left>
      <right style="medium">
        <color indexed="9"/>
      </right>
      <top style="thin"/>
      <bottom>
        <color indexed="63"/>
      </bottom>
    </border>
    <border>
      <left style="thin"/>
      <right style="thin"/>
      <top>
        <color indexed="63"/>
      </top>
      <bottom style="thin"/>
    </border>
    <border>
      <left style="thin"/>
      <right>
        <color indexed="63"/>
      </right>
      <top style="medium">
        <color indexed="23"/>
      </top>
      <bottom style="thin"/>
    </border>
    <border>
      <left style="medium">
        <color indexed="23"/>
      </left>
      <right style="thin"/>
      <top>
        <color indexed="63"/>
      </top>
      <bottom style="thin"/>
    </border>
    <border>
      <left style="thin"/>
      <right style="medium">
        <color indexed="9"/>
      </right>
      <top>
        <color indexed="63"/>
      </top>
      <bottom style="thin"/>
    </border>
    <border>
      <left style="medium">
        <color indexed="23"/>
      </left>
      <right style="thin"/>
      <top style="thin"/>
      <bottom style="thin"/>
    </border>
    <border>
      <left style="thin"/>
      <right style="medium">
        <color indexed="9"/>
      </right>
      <top style="medium">
        <color indexed="23"/>
      </top>
      <bottom style="thin"/>
    </border>
    <border>
      <left>
        <color indexed="63"/>
      </left>
      <right style="medium">
        <color indexed="9"/>
      </right>
      <top style="thin">
        <color indexed="23"/>
      </top>
      <bottom style="thin">
        <color indexed="23"/>
      </bottom>
    </border>
    <border>
      <left style="thin">
        <color indexed="23"/>
      </left>
      <right style="medium">
        <color indexed="9"/>
      </right>
      <top style="thin">
        <color indexed="23"/>
      </top>
      <bottom style="thin">
        <color indexed="9"/>
      </bottom>
    </border>
    <border>
      <left style="thin">
        <color indexed="23"/>
      </left>
      <right style="medium">
        <color indexed="9"/>
      </right>
      <top style="medium">
        <color indexed="23"/>
      </top>
      <bottom style="medium">
        <color indexed="9"/>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style="thin">
        <color indexed="23"/>
      </bottom>
    </border>
    <border>
      <left style="thin">
        <color indexed="23"/>
      </left>
      <right>
        <color indexed="63"/>
      </right>
      <top>
        <color indexed="63"/>
      </top>
      <bottom style="medium">
        <color indexed="9"/>
      </bottom>
    </border>
    <border>
      <left style="thin">
        <color indexed="55"/>
      </left>
      <right style="thin">
        <color indexed="23"/>
      </right>
      <top style="thin">
        <color indexed="23"/>
      </top>
      <bottom style="medium">
        <color indexed="9"/>
      </bottom>
    </border>
    <border>
      <left style="thin">
        <color indexed="23"/>
      </left>
      <right style="medium">
        <color indexed="9"/>
      </right>
      <top style="medium">
        <color indexed="23"/>
      </top>
      <bottom style="thin">
        <color indexed="23"/>
      </bottom>
    </border>
    <border>
      <left style="medium">
        <color indexed="55"/>
      </left>
      <right style="thin">
        <color indexed="55"/>
      </right>
      <top style="thin">
        <color indexed="55"/>
      </top>
      <bottom style="medium">
        <color indexed="9"/>
      </bottom>
    </border>
    <border>
      <left style="thin">
        <color indexed="55"/>
      </left>
      <right>
        <color indexed="63"/>
      </right>
      <top style="thin"/>
      <bottom>
        <color indexed="63"/>
      </bottom>
    </border>
    <border>
      <left style="thin">
        <color indexed="55"/>
      </left>
      <right>
        <color indexed="63"/>
      </right>
      <top>
        <color indexed="63"/>
      </top>
      <bottom style="medium">
        <color indexed="9"/>
      </bottom>
    </border>
    <border>
      <left style="thin">
        <color indexed="23"/>
      </left>
      <right>
        <color indexed="63"/>
      </right>
      <top style="thin"/>
      <bottom style="thin"/>
    </border>
    <border>
      <left style="thin">
        <color indexed="23"/>
      </left>
      <right style="medium">
        <color indexed="9"/>
      </right>
      <top>
        <color indexed="63"/>
      </top>
      <bottom>
        <color indexed="63"/>
      </bottom>
    </border>
    <border>
      <left>
        <color indexed="63"/>
      </left>
      <right style="thin">
        <color indexed="55"/>
      </right>
      <top>
        <color indexed="63"/>
      </top>
      <bottom style="thin">
        <color indexed="55"/>
      </bottom>
    </border>
    <border>
      <left style="medium">
        <color indexed="55"/>
      </left>
      <right style="thin">
        <color indexed="55"/>
      </right>
      <top>
        <color indexed="63"/>
      </top>
      <bottom style="thin">
        <color indexed="55"/>
      </bottom>
    </border>
    <border>
      <left>
        <color indexed="63"/>
      </left>
      <right>
        <color indexed="63"/>
      </right>
      <top style="medium">
        <color indexed="23"/>
      </top>
      <bottom style="medium">
        <color indexed="9"/>
      </bottom>
    </border>
    <border>
      <left style="medium">
        <color indexed="23"/>
      </left>
      <right style="medium">
        <color indexed="9"/>
      </right>
      <top style="thin"/>
      <bottom>
        <color indexed="63"/>
      </bottom>
    </border>
    <border>
      <left style="medium">
        <color indexed="23"/>
      </left>
      <right style="medium">
        <color indexed="9"/>
      </right>
      <top>
        <color indexed="63"/>
      </top>
      <bottom style="medium">
        <color indexed="9"/>
      </bottom>
    </border>
    <border>
      <left style="thin">
        <color indexed="55"/>
      </left>
      <right style="medium">
        <color indexed="9"/>
      </right>
      <top style="thin">
        <color indexed="55"/>
      </top>
      <bottom style="medium">
        <color indexed="9"/>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medium">
        <color indexed="23"/>
      </right>
      <top style="thin">
        <color indexed="23"/>
      </top>
      <bottom>
        <color indexed="63"/>
      </bottom>
    </border>
    <border>
      <left style="medium">
        <color indexed="23"/>
      </left>
      <right style="medium">
        <color indexed="9"/>
      </right>
      <top>
        <color indexed="63"/>
      </top>
      <bottom>
        <color indexed="63"/>
      </bottom>
    </border>
    <border>
      <left style="thin">
        <color indexed="55"/>
      </left>
      <right style="thin">
        <color indexed="23"/>
      </right>
      <top>
        <color indexed="63"/>
      </top>
      <bottom style="thin">
        <color indexed="23"/>
      </bottom>
    </border>
    <border>
      <left style="thin">
        <color indexed="23"/>
      </left>
      <right style="medium">
        <color indexed="9"/>
      </right>
      <top>
        <color indexed="63"/>
      </top>
      <bottom style="thin">
        <color indexed="23"/>
      </bottom>
    </border>
    <border>
      <left style="thin">
        <color indexed="23"/>
      </left>
      <right style="thin">
        <color indexed="23"/>
      </right>
      <top style="medium">
        <color indexed="23"/>
      </top>
      <bottom>
        <color indexed="63"/>
      </bottom>
    </border>
    <border>
      <left style="thin">
        <color indexed="23"/>
      </left>
      <right style="medium">
        <color indexed="9"/>
      </right>
      <top style="medium">
        <color indexed="23"/>
      </top>
      <bottom>
        <color indexed="63"/>
      </bottom>
    </border>
    <border>
      <left style="medium">
        <color indexed="55"/>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medium">
        <color indexed="55"/>
      </left>
      <right>
        <color indexed="63"/>
      </right>
      <top style="thin">
        <color indexed="55"/>
      </top>
      <bottom style="thin">
        <color indexed="55"/>
      </bottom>
    </border>
    <border>
      <left>
        <color indexed="63"/>
      </left>
      <right style="medium">
        <color indexed="9"/>
      </right>
      <top style="thin">
        <color indexed="55"/>
      </top>
      <bottom style="thin">
        <color indexed="55"/>
      </bottom>
    </border>
    <border>
      <left>
        <color indexed="63"/>
      </left>
      <right>
        <color indexed="63"/>
      </right>
      <top style="thin">
        <color indexed="55"/>
      </top>
      <bottom style="thin">
        <color indexed="55"/>
      </bottom>
    </border>
    <border>
      <left style="medium">
        <color indexed="55"/>
      </left>
      <right>
        <color indexed="63"/>
      </right>
      <top style="thin">
        <color indexed="55"/>
      </top>
      <bottom style="medium">
        <color indexed="9"/>
      </bottom>
    </border>
    <border>
      <left>
        <color indexed="63"/>
      </left>
      <right>
        <color indexed="63"/>
      </right>
      <top style="thin">
        <color indexed="55"/>
      </top>
      <bottom style="medium">
        <color indexed="9"/>
      </bottom>
    </border>
    <border>
      <left>
        <color indexed="63"/>
      </left>
      <right>
        <color indexed="63"/>
      </right>
      <top style="medium">
        <color indexed="55"/>
      </top>
      <bottom style="thin">
        <color indexed="55"/>
      </bottom>
    </border>
    <border>
      <left>
        <color indexed="63"/>
      </left>
      <right style="medium">
        <color indexed="9"/>
      </right>
      <top style="medium">
        <color indexed="55"/>
      </top>
      <bottom style="thin">
        <color indexed="55"/>
      </bottom>
    </border>
    <border>
      <left style="medium">
        <color indexed="55"/>
      </left>
      <right>
        <color indexed="63"/>
      </right>
      <top style="medium">
        <color indexed="55"/>
      </top>
      <bottom style="thin">
        <color indexed="55"/>
      </bottom>
    </border>
    <border>
      <left style="medium">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medium">
        <color indexed="9"/>
      </right>
      <top style="thin">
        <color indexed="55"/>
      </top>
      <bottom>
        <color indexed="63"/>
      </bottom>
    </border>
    <border>
      <left style="thin">
        <color indexed="55"/>
      </left>
      <right style="medium">
        <color indexed="9"/>
      </right>
      <top style="thin">
        <color indexed="55"/>
      </top>
      <bottom style="thin">
        <color indexed="55"/>
      </bottom>
    </border>
    <border>
      <left style="medium">
        <color indexed="23"/>
      </left>
      <right>
        <color indexed="63"/>
      </right>
      <top style="medium">
        <color indexed="23"/>
      </top>
      <bottom>
        <color indexed="63"/>
      </bottom>
    </border>
    <border>
      <left>
        <color indexed="63"/>
      </left>
      <right style="medium">
        <color indexed="9"/>
      </right>
      <top style="thin">
        <color indexed="23"/>
      </top>
      <bottom style="medium">
        <color indexed="9"/>
      </bottom>
    </border>
    <border>
      <left>
        <color indexed="63"/>
      </left>
      <right>
        <color indexed="63"/>
      </right>
      <top>
        <color indexed="63"/>
      </top>
      <bottom style="thin">
        <color indexed="23"/>
      </bottom>
    </border>
    <border>
      <left>
        <color indexed="63"/>
      </left>
      <right style="thin">
        <color indexed="23"/>
      </right>
      <top style="medium">
        <color indexed="23"/>
      </top>
      <bottom style="thin">
        <color indexed="23"/>
      </bottom>
    </border>
    <border>
      <left>
        <color indexed="63"/>
      </left>
      <right style="thin">
        <color indexed="23"/>
      </right>
      <top style="thin">
        <color indexed="23"/>
      </top>
      <bottom style="medium">
        <color indexed="9"/>
      </bottom>
    </border>
    <border>
      <left>
        <color indexed="63"/>
      </left>
      <right style="thin">
        <color indexed="55"/>
      </right>
      <top>
        <color indexed="63"/>
      </top>
      <bottom style="thin">
        <color indexed="23"/>
      </bottom>
    </border>
    <border>
      <left>
        <color indexed="63"/>
      </left>
      <right>
        <color indexed="63"/>
      </right>
      <top style="medium">
        <color indexed="9"/>
      </top>
      <bottom>
        <color indexed="63"/>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style="medium">
        <color indexed="55"/>
      </left>
      <right style="thin">
        <color indexed="55"/>
      </right>
      <top style="medium">
        <color indexed="55"/>
      </top>
      <bottom style="thin">
        <color indexed="55"/>
      </bottom>
    </border>
    <border>
      <left style="thin">
        <color indexed="55"/>
      </left>
      <right style="thin">
        <color indexed="55"/>
      </right>
      <top>
        <color indexed="63"/>
      </top>
      <bottom style="thin">
        <color indexed="55"/>
      </bottom>
    </border>
    <border>
      <left style="medium">
        <color indexed="55"/>
      </left>
      <right>
        <color indexed="63"/>
      </right>
      <top>
        <color indexed="63"/>
      </top>
      <bottom>
        <color indexed="63"/>
      </bottom>
    </border>
    <border>
      <left style="thin">
        <color indexed="55"/>
      </left>
      <right style="thin">
        <color indexed="55"/>
      </right>
      <top style="thin">
        <color indexed="55"/>
      </top>
      <bottom style="medium">
        <color indexed="9"/>
      </bottom>
    </border>
    <border>
      <left style="thin">
        <color indexed="55"/>
      </left>
      <right style="medium">
        <color indexed="9"/>
      </right>
      <top>
        <color indexed="63"/>
      </top>
      <bottom>
        <color indexed="63"/>
      </bottom>
    </border>
    <border>
      <left style="thin">
        <color indexed="55"/>
      </left>
      <right style="thin">
        <color indexed="55"/>
      </right>
      <top style="medium">
        <color indexed="55"/>
      </top>
      <bottom style="thin">
        <color indexed="55"/>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55"/>
      </right>
      <top style="thin">
        <color indexed="55"/>
      </top>
      <bottom style="thin">
        <color indexed="55"/>
      </botto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color indexed="55"/>
      </right>
      <top style="thin"/>
      <bottom style="thin"/>
    </border>
    <border>
      <left style="thin">
        <color indexed="55"/>
      </left>
      <right style="thin"/>
      <top style="thin"/>
      <bottom style="thin"/>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28">
    <xf numFmtId="0" fontId="0" fillId="0" borderId="0" xfId="0" applyAlignment="1">
      <alignment/>
    </xf>
    <xf numFmtId="164" fontId="0" fillId="0" borderId="0" xfId="0" applyNumberFormat="1" applyAlignment="1">
      <alignment/>
    </xf>
    <xf numFmtId="2" fontId="0" fillId="0" borderId="0" xfId="0" applyNumberFormat="1" applyAlignment="1">
      <alignment/>
    </xf>
    <xf numFmtId="0" fontId="0" fillId="0" borderId="0" xfId="0" applyAlignment="1">
      <alignment horizontal="center"/>
    </xf>
    <xf numFmtId="171" fontId="0" fillId="0" borderId="0" xfId="0" applyNumberFormat="1" applyAlignment="1">
      <alignment/>
    </xf>
    <xf numFmtId="0" fontId="3" fillId="0" borderId="0" xfId="0" applyFont="1" applyAlignment="1">
      <alignment horizontal="center"/>
    </xf>
    <xf numFmtId="171" fontId="3" fillId="0" borderId="0" xfId="0" applyNumberFormat="1" applyFont="1" applyAlignment="1">
      <alignment horizontal="center"/>
    </xf>
    <xf numFmtId="0" fontId="0" fillId="2" borderId="0" xfId="0" applyFill="1" applyAlignment="1">
      <alignment/>
    </xf>
    <xf numFmtId="0" fontId="0" fillId="0" borderId="0" xfId="0" applyAlignment="1">
      <alignment horizontal="right"/>
    </xf>
    <xf numFmtId="2" fontId="0" fillId="0" borderId="0" xfId="0" applyNumberFormat="1" applyAlignment="1">
      <alignment horizontal="right"/>
    </xf>
    <xf numFmtId="0" fontId="0" fillId="0" borderId="0" xfId="0" applyFont="1" applyAlignment="1">
      <alignment horizontal="center"/>
    </xf>
    <xf numFmtId="0" fontId="0" fillId="3" borderId="0" xfId="0" applyFill="1" applyAlignment="1">
      <alignment/>
    </xf>
    <xf numFmtId="170" fontId="0" fillId="3" borderId="0" xfId="0" applyNumberFormat="1" applyFill="1" applyAlignment="1">
      <alignment/>
    </xf>
    <xf numFmtId="0" fontId="0" fillId="3" borderId="0" xfId="0" applyFill="1" applyAlignment="1" quotePrefix="1">
      <alignment/>
    </xf>
    <xf numFmtId="165" fontId="0" fillId="3" borderId="0" xfId="0" applyNumberFormat="1" applyFill="1" applyAlignment="1">
      <alignment/>
    </xf>
    <xf numFmtId="2" fontId="10" fillId="3" borderId="0" xfId="0" applyNumberFormat="1" applyFont="1" applyFill="1" applyAlignment="1">
      <alignment/>
    </xf>
    <xf numFmtId="0" fontId="11" fillId="3" borderId="0" xfId="0" applyFont="1" applyFill="1" applyBorder="1" applyAlignment="1" applyProtection="1">
      <alignment/>
      <protection locked="0"/>
    </xf>
    <xf numFmtId="12" fontId="0" fillId="0" borderId="0" xfId="0" applyNumberFormat="1" applyAlignment="1">
      <alignment horizontal="center"/>
    </xf>
    <xf numFmtId="1" fontId="0" fillId="0" borderId="0" xfId="0" applyNumberFormat="1" applyAlignment="1">
      <alignment/>
    </xf>
    <xf numFmtId="13" fontId="0" fillId="3" borderId="0" xfId="0" applyNumberFormat="1" applyFill="1" applyAlignment="1">
      <alignment vertical="center"/>
    </xf>
    <xf numFmtId="0" fontId="0" fillId="3" borderId="0" xfId="0" applyFill="1" applyAlignment="1">
      <alignment vertical="center"/>
    </xf>
    <xf numFmtId="0" fontId="12" fillId="3" borderId="0" xfId="0" applyFont="1" applyFill="1" applyAlignment="1">
      <alignment vertical="center"/>
    </xf>
    <xf numFmtId="0" fontId="0" fillId="3" borderId="0" xfId="0" applyFill="1" applyAlignment="1" applyProtection="1">
      <alignment vertical="center"/>
      <protection locked="0"/>
    </xf>
    <xf numFmtId="0" fontId="12" fillId="3" borderId="0" xfId="0" applyFont="1" applyFill="1" applyBorder="1" applyAlignment="1" applyProtection="1">
      <alignment vertical="center"/>
      <protection/>
    </xf>
    <xf numFmtId="39" fontId="11" fillId="0" borderId="1" xfId="0" applyNumberFormat="1" applyFont="1" applyBorder="1" applyAlignment="1" applyProtection="1">
      <alignment/>
      <protection locked="0"/>
    </xf>
    <xf numFmtId="0" fontId="23" fillId="3" borderId="0" xfId="0" applyFont="1" applyFill="1" applyAlignment="1" applyProtection="1">
      <alignment vertical="center"/>
      <protection/>
    </xf>
    <xf numFmtId="0" fontId="21" fillId="3" borderId="0" xfId="0" applyFont="1" applyFill="1" applyAlignment="1" applyProtection="1">
      <alignment vertical="center"/>
      <protection hidden="1"/>
    </xf>
    <xf numFmtId="2" fontId="21" fillId="3" borderId="0" xfId="0" applyNumberFormat="1" applyFont="1" applyFill="1" applyAlignment="1">
      <alignment/>
    </xf>
    <xf numFmtId="0" fontId="13" fillId="0" borderId="0" xfId="0" applyFont="1" applyAlignment="1">
      <alignment/>
    </xf>
    <xf numFmtId="0" fontId="3" fillId="0" borderId="0" xfId="0" applyFont="1" applyAlignment="1">
      <alignment/>
    </xf>
    <xf numFmtId="0" fontId="24" fillId="0" borderId="0" xfId="0" applyFont="1" applyAlignment="1">
      <alignment/>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12" fontId="27" fillId="3" borderId="3" xfId="0" applyNumberFormat="1" applyFont="1" applyFill="1" applyBorder="1" applyAlignment="1">
      <alignment vertical="center"/>
    </xf>
    <xf numFmtId="12" fontId="27" fillId="3" borderId="5" xfId="0" applyNumberFormat="1" applyFont="1" applyFill="1" applyBorder="1" applyAlignment="1">
      <alignment vertical="center"/>
    </xf>
    <xf numFmtId="0" fontId="27" fillId="3" borderId="2" xfId="0" applyFont="1" applyFill="1" applyBorder="1" applyAlignment="1">
      <alignment vertical="center"/>
    </xf>
    <xf numFmtId="0" fontId="16" fillId="5" borderId="4" xfId="0" applyFont="1" applyFill="1" applyBorder="1" applyAlignment="1" applyProtection="1">
      <alignment vertical="center"/>
      <protection locked="0"/>
    </xf>
    <xf numFmtId="0" fontId="27" fillId="3" borderId="6" xfId="0" applyFont="1" applyFill="1" applyBorder="1" applyAlignment="1">
      <alignment vertical="center"/>
    </xf>
    <xf numFmtId="0" fontId="16" fillId="5" borderId="7" xfId="0" applyFont="1" applyFill="1" applyBorder="1" applyAlignment="1" applyProtection="1">
      <alignment vertical="center"/>
      <protection locked="0"/>
    </xf>
    <xf numFmtId="0" fontId="30" fillId="6" borderId="8" xfId="0" applyFont="1" applyFill="1" applyBorder="1" applyAlignment="1">
      <alignment horizontal="center" vertical="center"/>
    </xf>
    <xf numFmtId="0" fontId="29" fillId="4" borderId="3" xfId="0" applyFont="1" applyFill="1" applyBorder="1" applyAlignment="1">
      <alignment vertical="center"/>
    </xf>
    <xf numFmtId="12" fontId="16" fillId="5" borderId="2" xfId="0" applyNumberFormat="1" applyFont="1" applyFill="1" applyBorder="1" applyAlignment="1" applyProtection="1">
      <alignment vertical="center"/>
      <protection locked="0"/>
    </xf>
    <xf numFmtId="0" fontId="32" fillId="6" borderId="9" xfId="0" applyFont="1" applyFill="1" applyBorder="1" applyAlignment="1">
      <alignment vertical="center"/>
    </xf>
    <xf numFmtId="0" fontId="33" fillId="6" borderId="8" xfId="0" applyFont="1" applyFill="1" applyBorder="1" applyAlignment="1">
      <alignment vertical="center"/>
    </xf>
    <xf numFmtId="0" fontId="34" fillId="4" borderId="2" xfId="0" applyFont="1" applyFill="1" applyBorder="1" applyAlignment="1">
      <alignment horizontal="center" vertical="center"/>
    </xf>
    <xf numFmtId="0" fontId="34" fillId="4" borderId="4" xfId="0" applyFont="1" applyFill="1" applyBorder="1" applyAlignment="1">
      <alignment horizontal="center" vertical="center"/>
    </xf>
    <xf numFmtId="12" fontId="13" fillId="3" borderId="2" xfId="0" applyNumberFormat="1" applyFont="1" applyFill="1" applyBorder="1" applyAlignment="1">
      <alignment vertical="center"/>
    </xf>
    <xf numFmtId="0" fontId="3" fillId="3" borderId="2" xfId="0" applyFont="1" applyFill="1" applyBorder="1" applyAlignment="1">
      <alignment vertical="center"/>
    </xf>
    <xf numFmtId="41" fontId="18" fillId="3" borderId="4" xfId="15" applyNumberFormat="1" applyFont="1" applyFill="1" applyBorder="1" applyAlignment="1" applyProtection="1">
      <alignment vertical="center"/>
      <protection/>
    </xf>
    <xf numFmtId="41" fontId="13" fillId="3" borderId="4" xfId="15" applyNumberFormat="1" applyFont="1" applyFill="1" applyBorder="1" applyAlignment="1" applyProtection="1">
      <alignment vertical="center"/>
      <protection/>
    </xf>
    <xf numFmtId="2" fontId="3" fillId="3" borderId="2" xfId="0" applyNumberFormat="1" applyFont="1" applyFill="1" applyBorder="1" applyAlignment="1">
      <alignment vertical="center"/>
    </xf>
    <xf numFmtId="41" fontId="13" fillId="3" borderId="4" xfId="15" applyNumberFormat="1" applyFont="1"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12" fontId="0" fillId="3" borderId="11" xfId="0" applyNumberFormat="1" applyFill="1" applyBorder="1" applyAlignment="1">
      <alignment vertical="center"/>
    </xf>
    <xf numFmtId="41" fontId="0" fillId="3" borderId="12" xfId="15" applyNumberFormat="1" applyFill="1" applyBorder="1" applyAlignment="1">
      <alignment vertical="center"/>
    </xf>
    <xf numFmtId="0" fontId="0" fillId="3" borderId="13" xfId="0" applyFill="1" applyBorder="1" applyAlignment="1">
      <alignment vertical="center"/>
    </xf>
    <xf numFmtId="164" fontId="19" fillId="3" borderId="14" xfId="0" applyNumberFormat="1" applyFont="1" applyFill="1" applyBorder="1" applyAlignment="1">
      <alignment vertical="center"/>
    </xf>
    <xf numFmtId="0" fontId="0" fillId="3" borderId="14" xfId="0" applyFill="1" applyBorder="1" applyAlignment="1">
      <alignment vertical="center"/>
    </xf>
    <xf numFmtId="0" fontId="0" fillId="3" borderId="15" xfId="0" applyFill="1" applyBorder="1" applyAlignment="1">
      <alignment vertical="center"/>
    </xf>
    <xf numFmtId="0" fontId="33" fillId="6" borderId="16" xfId="0" applyFont="1" applyFill="1" applyBorder="1" applyAlignment="1">
      <alignment horizontal="right" vertical="center"/>
    </xf>
    <xf numFmtId="0" fontId="33" fillId="6" borderId="17" xfId="0" applyFont="1" applyFill="1" applyBorder="1" applyAlignment="1">
      <alignment vertical="center"/>
    </xf>
    <xf numFmtId="0" fontId="17" fillId="6" borderId="18" xfId="0" applyFont="1" applyFill="1" applyBorder="1" applyAlignment="1">
      <alignment vertical="center"/>
    </xf>
    <xf numFmtId="0" fontId="0" fillId="3" borderId="19" xfId="0" applyFill="1" applyBorder="1" applyAlignment="1" applyProtection="1">
      <alignment vertical="center"/>
      <protection locked="0"/>
    </xf>
    <xf numFmtId="0" fontId="0" fillId="3" borderId="20" xfId="0" applyFill="1" applyBorder="1" applyAlignment="1" applyProtection="1">
      <alignment vertical="center"/>
      <protection locked="0"/>
    </xf>
    <xf numFmtId="0" fontId="34" fillId="6" borderId="9" xfId="0" applyFont="1" applyFill="1" applyBorder="1" applyAlignment="1">
      <alignment horizontal="left" vertical="center"/>
    </xf>
    <xf numFmtId="13" fontId="27" fillId="3" borderId="21" xfId="0" applyNumberFormat="1" applyFont="1" applyFill="1" applyBorder="1" applyAlignment="1">
      <alignment vertical="center"/>
    </xf>
    <xf numFmtId="13" fontId="27" fillId="3" borderId="22" xfId="0" applyNumberFormat="1" applyFont="1" applyFill="1" applyBorder="1" applyAlignment="1">
      <alignment vertical="center"/>
    </xf>
    <xf numFmtId="0" fontId="0" fillId="3" borderId="23" xfId="0" applyFill="1" applyBorder="1" applyAlignment="1">
      <alignment vertical="center"/>
    </xf>
    <xf numFmtId="0" fontId="25" fillId="3" borderId="0" xfId="0" applyFont="1" applyFill="1" applyAlignment="1">
      <alignment vertical="center"/>
    </xf>
    <xf numFmtId="0" fontId="25" fillId="3" borderId="14" xfId="0" applyFont="1" applyFill="1" applyBorder="1" applyAlignment="1">
      <alignment horizontal="left" vertical="center"/>
    </xf>
    <xf numFmtId="0" fontId="36" fillId="3" borderId="14" xfId="0" applyFont="1" applyFill="1" applyBorder="1" applyAlignment="1">
      <alignment horizontal="right" vertical="center"/>
    </xf>
    <xf numFmtId="0" fontId="39" fillId="3" borderId="24" xfId="0" applyFont="1" applyFill="1" applyBorder="1" applyAlignment="1">
      <alignment vertical="center"/>
    </xf>
    <xf numFmtId="0" fontId="37" fillId="6" borderId="25" xfId="0" applyFont="1" applyFill="1" applyBorder="1" applyAlignment="1">
      <alignment/>
    </xf>
    <xf numFmtId="0" fontId="26" fillId="6" borderId="26" xfId="0" applyFont="1" applyFill="1" applyBorder="1" applyAlignment="1">
      <alignment/>
    </xf>
    <xf numFmtId="0" fontId="31" fillId="6" borderId="26" xfId="0" applyFont="1" applyFill="1" applyBorder="1" applyAlignment="1">
      <alignment horizontal="right"/>
    </xf>
    <xf numFmtId="0" fontId="29" fillId="4" borderId="27" xfId="0" applyFont="1" applyFill="1" applyBorder="1" applyAlignment="1">
      <alignment horizontal="center" vertical="center"/>
    </xf>
    <xf numFmtId="0" fontId="29" fillId="4" borderId="28" xfId="0" applyFont="1" applyFill="1" applyBorder="1" applyAlignment="1">
      <alignment horizontal="center" vertical="center"/>
    </xf>
    <xf numFmtId="0" fontId="35" fillId="4" borderId="21" xfId="0" applyFont="1" applyFill="1" applyBorder="1" applyAlignment="1">
      <alignment vertical="center"/>
    </xf>
    <xf numFmtId="0" fontId="35" fillId="4" borderId="29" xfId="0" applyFont="1" applyFill="1" applyBorder="1" applyAlignment="1">
      <alignment vertical="center"/>
    </xf>
    <xf numFmtId="0" fontId="20" fillId="3" borderId="15" xfId="0" applyFont="1" applyFill="1" applyBorder="1" applyAlignment="1">
      <alignment vertical="center"/>
    </xf>
    <xf numFmtId="41" fontId="11" fillId="0" borderId="30" xfId="15" applyNumberFormat="1" applyFont="1" applyBorder="1" applyAlignment="1" applyProtection="1">
      <alignment/>
      <protection locked="0"/>
    </xf>
    <xf numFmtId="2" fontId="11" fillId="0" borderId="31" xfId="15" applyNumberFormat="1" applyFont="1" applyFill="1" applyBorder="1" applyAlignment="1" applyProtection="1">
      <alignment horizontal="right"/>
      <protection locked="0"/>
    </xf>
    <xf numFmtId="2" fontId="11" fillId="0" borderId="32" xfId="0" applyNumberFormat="1" applyFont="1" applyBorder="1" applyAlignment="1" applyProtection="1">
      <alignment horizontal="right"/>
      <protection locked="0"/>
    </xf>
    <xf numFmtId="172" fontId="11" fillId="0" borderId="33" xfId="15" applyNumberFormat="1" applyFont="1" applyBorder="1" applyAlignment="1" applyProtection="1">
      <alignment/>
      <protection locked="0"/>
    </xf>
    <xf numFmtId="173" fontId="11" fillId="0" borderId="34" xfId="0" applyNumberFormat="1" applyFont="1" applyBorder="1" applyAlignment="1" applyProtection="1">
      <alignment/>
      <protection locked="0"/>
    </xf>
    <xf numFmtId="43" fontId="11" fillId="0" borderId="33" xfId="15" applyNumberFormat="1" applyFont="1" applyBorder="1" applyAlignment="1" applyProtection="1">
      <alignment/>
      <protection locked="0"/>
    </xf>
    <xf numFmtId="0" fontId="0" fillId="3" borderId="0" xfId="0" applyFill="1" applyAlignment="1" applyProtection="1">
      <alignment/>
      <protection/>
    </xf>
    <xf numFmtId="0" fontId="0" fillId="0" borderId="0" xfId="0" applyAlignment="1" applyProtection="1">
      <alignment/>
      <protection/>
    </xf>
    <xf numFmtId="0" fontId="7" fillId="6" borderId="35" xfId="0" applyFont="1" applyFill="1" applyBorder="1" applyAlignment="1" applyProtection="1">
      <alignment/>
      <protection/>
    </xf>
    <xf numFmtId="0" fontId="8" fillId="6" borderId="36" xfId="0" applyFont="1" applyFill="1" applyBorder="1" applyAlignment="1" applyProtection="1">
      <alignment/>
      <protection/>
    </xf>
    <xf numFmtId="0" fontId="8" fillId="6" borderId="37" xfId="0" applyFont="1" applyFill="1" applyBorder="1" applyAlignment="1" applyProtection="1">
      <alignment/>
      <protection/>
    </xf>
    <xf numFmtId="0" fontId="7" fillId="4" borderId="38" xfId="0" applyFont="1" applyFill="1" applyBorder="1" applyAlignment="1" applyProtection="1">
      <alignment horizontal="center"/>
      <protection/>
    </xf>
    <xf numFmtId="0" fontId="7" fillId="4" borderId="39" xfId="0" applyFont="1" applyFill="1" applyBorder="1" applyAlignment="1" applyProtection="1">
      <alignment horizontal="center"/>
      <protection/>
    </xf>
    <xf numFmtId="0" fontId="0" fillId="3" borderId="0" xfId="0" applyFill="1" applyAlignment="1" applyProtection="1">
      <alignment horizontal="center"/>
      <protection/>
    </xf>
    <xf numFmtId="0" fontId="7" fillId="4" borderId="40" xfId="0" applyFont="1" applyFill="1" applyBorder="1" applyAlignment="1" applyProtection="1">
      <alignment horizontal="center"/>
      <protection/>
    </xf>
    <xf numFmtId="0" fontId="7" fillId="4" borderId="41" xfId="0" applyFont="1" applyFill="1" applyBorder="1" applyAlignment="1" applyProtection="1">
      <alignment horizontal="center"/>
      <protection/>
    </xf>
    <xf numFmtId="0" fontId="7" fillId="4" borderId="42" xfId="0" applyFont="1" applyFill="1" applyBorder="1" applyAlignment="1" applyProtection="1">
      <alignment horizontal="right"/>
      <protection/>
    </xf>
    <xf numFmtId="0" fontId="7" fillId="4" borderId="43" xfId="0" applyFont="1" applyFill="1" applyBorder="1" applyAlignment="1" applyProtection="1">
      <alignment horizontal="center"/>
      <protection/>
    </xf>
    <xf numFmtId="173" fontId="12" fillId="3" borderId="44" xfId="15" applyNumberFormat="1" applyFont="1" applyFill="1" applyBorder="1" applyAlignment="1" applyProtection="1">
      <alignment/>
      <protection/>
    </xf>
    <xf numFmtId="0" fontId="0" fillId="3" borderId="40" xfId="0" applyFill="1" applyBorder="1" applyAlignment="1" applyProtection="1">
      <alignment/>
      <protection/>
    </xf>
    <xf numFmtId="0" fontId="0" fillId="3" borderId="41" xfId="0" applyFill="1" applyBorder="1" applyAlignment="1" applyProtection="1">
      <alignment/>
      <protection/>
    </xf>
    <xf numFmtId="0" fontId="0" fillId="3" borderId="45" xfId="0" applyFill="1" applyBorder="1" applyAlignment="1" applyProtection="1">
      <alignment/>
      <protection/>
    </xf>
    <xf numFmtId="39" fontId="12" fillId="3" borderId="46" xfId="15" applyNumberFormat="1" applyFont="1" applyFill="1" applyBorder="1" applyAlignment="1" applyProtection="1">
      <alignment/>
      <protection/>
    </xf>
    <xf numFmtId="0" fontId="0" fillId="3" borderId="47" xfId="0" applyFill="1" applyBorder="1" applyAlignment="1" applyProtection="1">
      <alignment/>
      <protection/>
    </xf>
    <xf numFmtId="0" fontId="0" fillId="3" borderId="0" xfId="0" applyFill="1" applyBorder="1" applyAlignment="1" applyProtection="1">
      <alignment/>
      <protection/>
    </xf>
    <xf numFmtId="0" fontId="0" fillId="3" borderId="0" xfId="0" applyFont="1" applyFill="1" applyBorder="1" applyAlignment="1" applyProtection="1">
      <alignment/>
      <protection/>
    </xf>
    <xf numFmtId="0" fontId="0" fillId="3" borderId="48" xfId="0" applyFill="1" applyBorder="1" applyAlignment="1" applyProtection="1">
      <alignment/>
      <protection/>
    </xf>
    <xf numFmtId="173" fontId="12" fillId="3" borderId="49" xfId="15" applyNumberFormat="1" applyFont="1" applyFill="1" applyBorder="1" applyAlignment="1" applyProtection="1">
      <alignment/>
      <protection/>
    </xf>
    <xf numFmtId="0" fontId="0" fillId="3" borderId="50" xfId="0" applyFill="1" applyBorder="1" applyAlignment="1" applyProtection="1">
      <alignment/>
      <protection/>
    </xf>
    <xf numFmtId="0" fontId="0" fillId="3" borderId="51" xfId="0" applyFill="1" applyBorder="1" applyAlignment="1" applyProtection="1">
      <alignment/>
      <protection/>
    </xf>
    <xf numFmtId="173" fontId="12" fillId="3" borderId="0" xfId="15" applyNumberFormat="1" applyFont="1" applyFill="1" applyBorder="1" applyAlignment="1" applyProtection="1">
      <alignment/>
      <protection/>
    </xf>
    <xf numFmtId="173" fontId="11" fillId="3" borderId="0" xfId="0" applyNumberFormat="1" applyFont="1" applyFill="1" applyBorder="1" applyAlignment="1" applyProtection="1">
      <alignment/>
      <protection/>
    </xf>
    <xf numFmtId="0" fontId="6" fillId="3" borderId="0" xfId="0" applyFont="1" applyFill="1" applyAlignment="1" applyProtection="1">
      <alignment/>
      <protection/>
    </xf>
    <xf numFmtId="0" fontId="0" fillId="3" borderId="52" xfId="0" applyFill="1" applyBorder="1" applyAlignment="1" applyProtection="1">
      <alignment/>
      <protection/>
    </xf>
    <xf numFmtId="0" fontId="0" fillId="3" borderId="53" xfId="0" applyFill="1" applyBorder="1" applyAlignment="1" applyProtection="1">
      <alignment/>
      <protection/>
    </xf>
    <xf numFmtId="0" fontId="0" fillId="3" borderId="54" xfId="0" applyFill="1" applyBorder="1" applyAlignment="1" applyProtection="1">
      <alignment/>
      <protection/>
    </xf>
    <xf numFmtId="0" fontId="0" fillId="3" borderId="55" xfId="0" applyFill="1" applyBorder="1" applyAlignment="1" applyProtection="1">
      <alignment/>
      <protection/>
    </xf>
    <xf numFmtId="0" fontId="8" fillId="6" borderId="56" xfId="0" applyFont="1" applyFill="1" applyBorder="1" applyAlignment="1" applyProtection="1">
      <alignment/>
      <protection/>
    </xf>
    <xf numFmtId="174" fontId="7" fillId="4" borderId="38" xfId="15" applyNumberFormat="1" applyFont="1" applyFill="1" applyBorder="1" applyAlignment="1" applyProtection="1">
      <alignment horizontal="center"/>
      <protection/>
    </xf>
    <xf numFmtId="174" fontId="7" fillId="4" borderId="57" xfId="15" applyNumberFormat="1" applyFont="1" applyFill="1" applyBorder="1" applyAlignment="1" applyProtection="1">
      <alignment horizontal="center"/>
      <protection/>
    </xf>
    <xf numFmtId="174" fontId="7" fillId="4" borderId="58" xfId="15" applyNumberFormat="1" applyFont="1" applyFill="1" applyBorder="1" applyAlignment="1" applyProtection="1">
      <alignment horizontal="center"/>
      <protection/>
    </xf>
    <xf numFmtId="174" fontId="7" fillId="4" borderId="59" xfId="15" applyNumberFormat="1" applyFont="1" applyFill="1" applyBorder="1" applyAlignment="1" applyProtection="1">
      <alignment horizontal="center"/>
      <protection/>
    </xf>
    <xf numFmtId="174" fontId="7" fillId="4" borderId="40" xfId="15" applyNumberFormat="1" applyFont="1" applyFill="1" applyBorder="1" applyAlignment="1" applyProtection="1">
      <alignment horizontal="center"/>
      <protection/>
    </xf>
    <xf numFmtId="174" fontId="7" fillId="4" borderId="42" xfId="15" applyNumberFormat="1" applyFont="1" applyFill="1" applyBorder="1" applyAlignment="1" applyProtection="1">
      <alignment horizontal="center"/>
      <protection/>
    </xf>
    <xf numFmtId="174" fontId="7" fillId="4" borderId="60" xfId="15" applyNumberFormat="1" applyFont="1" applyFill="1" applyBorder="1" applyAlignment="1" applyProtection="1">
      <alignment horizontal="center"/>
      <protection/>
    </xf>
    <xf numFmtId="174" fontId="7" fillId="4" borderId="43" xfId="15" applyNumberFormat="1" applyFont="1" applyFill="1" applyBorder="1" applyAlignment="1" applyProtection="1">
      <alignment horizontal="center"/>
      <protection/>
    </xf>
    <xf numFmtId="0" fontId="7" fillId="4" borderId="35" xfId="0" applyFont="1" applyFill="1" applyBorder="1" applyAlignment="1" applyProtection="1">
      <alignment horizontal="center"/>
      <protection/>
    </xf>
    <xf numFmtId="0" fontId="7" fillId="4" borderId="37" xfId="0" applyFont="1" applyFill="1" applyBorder="1" applyAlignment="1" applyProtection="1">
      <alignment horizontal="center"/>
      <protection/>
    </xf>
    <xf numFmtId="0" fontId="7" fillId="4" borderId="61" xfId="0" applyFont="1" applyFill="1" applyBorder="1" applyAlignment="1" applyProtection="1">
      <alignment horizontal="right"/>
      <protection/>
    </xf>
    <xf numFmtId="0" fontId="7" fillId="4" borderId="36" xfId="0" applyFont="1" applyFill="1" applyBorder="1" applyAlignment="1" applyProtection="1">
      <alignment horizontal="center"/>
      <protection/>
    </xf>
    <xf numFmtId="174" fontId="0" fillId="3" borderId="62" xfId="15" applyNumberFormat="1" applyFill="1" applyBorder="1" applyAlignment="1" applyProtection="1">
      <alignment horizontal="center"/>
      <protection/>
    </xf>
    <xf numFmtId="41" fontId="0" fillId="0" borderId="60" xfId="15" applyNumberFormat="1" applyBorder="1" applyAlignment="1" applyProtection="1">
      <alignment horizontal="right"/>
      <protection/>
    </xf>
    <xf numFmtId="172" fontId="0" fillId="0" borderId="60" xfId="15" applyNumberFormat="1" applyBorder="1" applyAlignment="1" applyProtection="1">
      <alignment horizontal="center"/>
      <protection/>
    </xf>
    <xf numFmtId="0" fontId="0" fillId="3" borderId="63" xfId="0" applyFill="1" applyBorder="1" applyAlignment="1" applyProtection="1">
      <alignment/>
      <protection/>
    </xf>
    <xf numFmtId="174" fontId="0" fillId="0" borderId="64" xfId="15" applyNumberFormat="1" applyBorder="1" applyAlignment="1" applyProtection="1">
      <alignment/>
      <protection/>
    </xf>
    <xf numFmtId="41" fontId="0" fillId="0" borderId="1" xfId="15" applyNumberFormat="1" applyBorder="1" applyAlignment="1" applyProtection="1">
      <alignment/>
      <protection/>
    </xf>
    <xf numFmtId="172" fontId="0" fillId="0" borderId="1" xfId="15" applyNumberFormat="1" applyBorder="1" applyAlignment="1" applyProtection="1">
      <alignment horizontal="center"/>
      <protection/>
    </xf>
    <xf numFmtId="0" fontId="0" fillId="3" borderId="46" xfId="0" applyFill="1" applyBorder="1" applyAlignment="1" applyProtection="1">
      <alignment/>
      <protection/>
    </xf>
    <xf numFmtId="2" fontId="0" fillId="3" borderId="46" xfId="0" applyNumberFormat="1" applyFill="1" applyBorder="1" applyAlignment="1" applyProtection="1">
      <alignment/>
      <protection/>
    </xf>
    <xf numFmtId="174" fontId="0" fillId="0" borderId="33" xfId="15" applyNumberFormat="1" applyBorder="1" applyAlignment="1" applyProtection="1">
      <alignment/>
      <protection/>
    </xf>
    <xf numFmtId="41" fontId="0" fillId="0" borderId="32" xfId="15" applyNumberFormat="1" applyBorder="1" applyAlignment="1" applyProtection="1">
      <alignment/>
      <protection/>
    </xf>
    <xf numFmtId="2" fontId="0" fillId="3" borderId="44" xfId="0" applyNumberFormat="1" applyFill="1" applyBorder="1" applyAlignment="1" applyProtection="1">
      <alignment/>
      <protection/>
    </xf>
    <xf numFmtId="2" fontId="0" fillId="3" borderId="65" xfId="0" applyNumberFormat="1" applyFill="1" applyBorder="1" applyAlignment="1" applyProtection="1">
      <alignment/>
      <protection/>
    </xf>
    <xf numFmtId="0" fontId="0" fillId="3" borderId="33" xfId="0" applyFill="1" applyBorder="1" applyAlignment="1" applyProtection="1">
      <alignment/>
      <protection/>
    </xf>
    <xf numFmtId="2" fontId="22" fillId="3" borderId="0" xfId="0" applyNumberFormat="1" applyFont="1" applyFill="1" applyBorder="1" applyAlignment="1" applyProtection="1">
      <alignment horizontal="right"/>
      <protection/>
    </xf>
    <xf numFmtId="2" fontId="0" fillId="3" borderId="0" xfId="0" applyNumberFormat="1" applyFill="1" applyBorder="1" applyAlignment="1" applyProtection="1">
      <alignment/>
      <protection/>
    </xf>
    <xf numFmtId="0" fontId="16" fillId="3" borderId="51" xfId="0" applyFont="1" applyFill="1" applyBorder="1" applyAlignment="1" applyProtection="1">
      <alignment horizontal="center"/>
      <protection/>
    </xf>
    <xf numFmtId="0" fontId="40" fillId="3" borderId="51" xfId="0" applyFont="1" applyFill="1" applyBorder="1" applyAlignment="1" applyProtection="1">
      <alignment horizontal="center"/>
      <protection/>
    </xf>
    <xf numFmtId="2" fontId="12" fillId="3" borderId="31" xfId="15" applyNumberFormat="1" applyFont="1" applyFill="1" applyBorder="1" applyAlignment="1" applyProtection="1">
      <alignment horizontal="right"/>
      <protection/>
    </xf>
    <xf numFmtId="2" fontId="12" fillId="3" borderId="32" xfId="0" applyNumberFormat="1" applyFont="1" applyFill="1" applyBorder="1" applyAlignment="1" applyProtection="1">
      <alignment horizontal="right"/>
      <protection/>
    </xf>
    <xf numFmtId="41" fontId="12" fillId="3" borderId="30" xfId="15" applyNumberFormat="1" applyFont="1" applyFill="1" applyBorder="1" applyAlignment="1" applyProtection="1">
      <alignment/>
      <protection/>
    </xf>
    <xf numFmtId="41" fontId="12" fillId="3" borderId="33" xfId="15" applyNumberFormat="1" applyFont="1" applyFill="1" applyBorder="1" applyAlignment="1" applyProtection="1">
      <alignment/>
      <protection/>
    </xf>
    <xf numFmtId="0" fontId="28" fillId="0" borderId="17" xfId="0" applyFont="1" applyFill="1" applyBorder="1" applyAlignment="1" applyProtection="1">
      <alignment horizontal="center" vertical="center"/>
      <protection locked="0"/>
    </xf>
    <xf numFmtId="0" fontId="29" fillId="4" borderId="18" xfId="0" applyFont="1" applyFill="1" applyBorder="1" applyAlignment="1">
      <alignment horizontal="center" vertical="center"/>
    </xf>
    <xf numFmtId="0" fontId="29" fillId="4" borderId="8" xfId="0" applyFont="1" applyFill="1" applyBorder="1" applyAlignment="1">
      <alignment horizontal="center" vertical="center"/>
    </xf>
    <xf numFmtId="13" fontId="27" fillId="3" borderId="66" xfId="0" applyNumberFormat="1" applyFont="1" applyFill="1" applyBorder="1" applyAlignment="1">
      <alignment vertical="center"/>
    </xf>
    <xf numFmtId="13" fontId="27" fillId="3" borderId="2" xfId="0" applyNumberFormat="1" applyFont="1" applyFill="1" applyBorder="1" applyAlignment="1">
      <alignment vertical="center"/>
    </xf>
    <xf numFmtId="13" fontId="27" fillId="3" borderId="6" xfId="0" applyNumberFormat="1" applyFont="1" applyFill="1" applyBorder="1" applyAlignment="1">
      <alignment vertical="center"/>
    </xf>
    <xf numFmtId="13" fontId="27" fillId="3" borderId="67" xfId="0" applyNumberFormat="1" applyFont="1" applyFill="1" applyBorder="1" applyAlignment="1">
      <alignment vertical="center"/>
    </xf>
    <xf numFmtId="0" fontId="38" fillId="6" borderId="26" xfId="0" applyFont="1" applyFill="1" applyBorder="1" applyAlignment="1">
      <alignment horizontal="center" vertical="center" wrapText="1"/>
    </xf>
    <xf numFmtId="0" fontId="41" fillId="3" borderId="59" xfId="0" applyFont="1" applyFill="1" applyBorder="1" applyAlignment="1">
      <alignment vertical="center"/>
    </xf>
    <xf numFmtId="13" fontId="43" fillId="3" borderId="68" xfId="0" applyNumberFormat="1" applyFont="1" applyFill="1" applyBorder="1" applyAlignment="1">
      <alignment horizontal="right" vertical="center"/>
    </xf>
    <xf numFmtId="0" fontId="44" fillId="4" borderId="69" xfId="0" applyFont="1" applyFill="1" applyBorder="1" applyAlignment="1">
      <alignment horizontal="center" wrapText="1"/>
    </xf>
    <xf numFmtId="43" fontId="45" fillId="0" borderId="69" xfId="15" applyFont="1" applyBorder="1" applyAlignment="1">
      <alignment horizontal="center" vertical="center" wrapText="1"/>
    </xf>
    <xf numFmtId="0" fontId="0" fillId="0" borderId="0" xfId="0" applyAlignment="1">
      <alignment vertical="center"/>
    </xf>
    <xf numFmtId="0" fontId="48" fillId="3" borderId="0" xfId="0" applyFont="1" applyFill="1" applyAlignment="1">
      <alignment vertical="center"/>
    </xf>
    <xf numFmtId="41" fontId="27" fillId="3" borderId="4" xfId="15" applyNumberFormat="1" applyFont="1" applyFill="1" applyBorder="1" applyAlignment="1" applyProtection="1">
      <alignment vertical="center"/>
      <protection/>
    </xf>
    <xf numFmtId="13" fontId="19" fillId="3" borderId="0" xfId="0" applyNumberFormat="1" applyFont="1" applyFill="1" applyAlignment="1">
      <alignment vertical="center"/>
    </xf>
    <xf numFmtId="0" fontId="6" fillId="3" borderId="0" xfId="0" applyFont="1" applyFill="1" applyAlignment="1">
      <alignment horizontal="center"/>
    </xf>
    <xf numFmtId="0" fontId="3" fillId="3" borderId="2" xfId="0" applyFont="1" applyFill="1" applyBorder="1" applyAlignment="1">
      <alignment vertical="center" wrapText="1"/>
    </xf>
    <xf numFmtId="0" fontId="34" fillId="6" borderId="70" xfId="0" applyFont="1" applyFill="1" applyBorder="1" applyAlignment="1">
      <alignment horizontal="left" vertical="center"/>
    </xf>
    <xf numFmtId="0" fontId="34" fillId="6" borderId="17" xfId="0" applyFont="1" applyFill="1" applyBorder="1" applyAlignment="1">
      <alignment horizontal="left" vertical="center"/>
    </xf>
    <xf numFmtId="0" fontId="0" fillId="3" borderId="0" xfId="0" applyFill="1" applyBorder="1" applyAlignment="1" applyProtection="1">
      <alignment vertical="center"/>
      <protection locked="0"/>
    </xf>
    <xf numFmtId="0" fontId="21" fillId="3" borderId="0" xfId="0" applyFont="1" applyFill="1" applyBorder="1" applyAlignment="1" applyProtection="1">
      <alignment horizontal="right" vertical="center"/>
      <protection/>
    </xf>
    <xf numFmtId="175" fontId="27" fillId="3" borderId="2" xfId="15" applyNumberFormat="1" applyFont="1" applyFill="1" applyBorder="1" applyAlignment="1" applyProtection="1">
      <alignment vertical="center"/>
      <protection/>
    </xf>
    <xf numFmtId="0" fontId="29" fillId="4" borderId="5" xfId="0" applyFont="1" applyFill="1" applyBorder="1" applyAlignment="1">
      <alignment vertical="center"/>
    </xf>
    <xf numFmtId="12" fontId="16" fillId="5" borderId="6" xfId="0" applyNumberFormat="1" applyFont="1" applyFill="1" applyBorder="1" applyAlignment="1" applyProtection="1">
      <alignment vertical="center"/>
      <protection locked="0"/>
    </xf>
    <xf numFmtId="0" fontId="0" fillId="3" borderId="71" xfId="0" applyFill="1" applyBorder="1" applyAlignment="1" applyProtection="1">
      <alignment vertical="center"/>
      <protection locked="0"/>
    </xf>
    <xf numFmtId="175" fontId="27" fillId="3" borderId="72" xfId="15" applyNumberFormat="1" applyFont="1" applyFill="1" applyBorder="1" applyAlignment="1">
      <alignment vertical="center"/>
    </xf>
    <xf numFmtId="41" fontId="27" fillId="3" borderId="7" xfId="15" applyNumberFormat="1" applyFont="1" applyFill="1" applyBorder="1" applyAlignment="1" applyProtection="1">
      <alignment vertical="center"/>
      <protection/>
    </xf>
    <xf numFmtId="0" fontId="29" fillId="4" borderId="73" xfId="0" applyFont="1" applyFill="1" applyBorder="1" applyAlignment="1">
      <alignment horizontal="center" vertical="center"/>
    </xf>
    <xf numFmtId="0" fontId="10" fillId="3" borderId="74" xfId="0" applyFont="1" applyFill="1" applyBorder="1" applyAlignment="1">
      <alignment/>
    </xf>
    <xf numFmtId="172" fontId="41" fillId="3" borderId="75" xfId="15" applyNumberFormat="1" applyFont="1" applyFill="1" applyBorder="1" applyAlignment="1">
      <alignment vertical="center"/>
    </xf>
    <xf numFmtId="172" fontId="27" fillId="3" borderId="76" xfId="15" applyNumberFormat="1" applyFont="1" applyFill="1" applyBorder="1" applyAlignment="1">
      <alignment vertical="center"/>
    </xf>
    <xf numFmtId="0" fontId="20" fillId="3" borderId="12" xfId="0" applyFont="1" applyFill="1" applyBorder="1" applyAlignment="1">
      <alignment vertical="center"/>
    </xf>
    <xf numFmtId="0" fontId="30" fillId="6" borderId="59" xfId="0" applyFont="1" applyFill="1" applyBorder="1" applyAlignment="1">
      <alignment vertical="center"/>
    </xf>
    <xf numFmtId="0" fontId="34" fillId="6" borderId="17" xfId="0" applyFont="1" applyFill="1" applyBorder="1" applyAlignment="1">
      <alignment vertical="center"/>
    </xf>
    <xf numFmtId="0" fontId="30" fillId="6" borderId="18" xfId="0" applyFont="1" applyFill="1" applyBorder="1" applyAlignment="1">
      <alignment vertical="center"/>
    </xf>
    <xf numFmtId="0" fontId="42" fillId="5" borderId="19" xfId="0" applyFont="1" applyFill="1" applyBorder="1" applyAlignment="1" applyProtection="1">
      <alignment vertical="center"/>
      <protection locked="0"/>
    </xf>
    <xf numFmtId="0" fontId="34" fillId="6" borderId="77" xfId="0" applyFont="1" applyFill="1" applyBorder="1" applyAlignment="1">
      <alignment vertical="center"/>
    </xf>
    <xf numFmtId="0" fontId="0" fillId="3" borderId="78" xfId="0" applyFill="1" applyBorder="1" applyAlignment="1">
      <alignment/>
    </xf>
    <xf numFmtId="171" fontId="6" fillId="3" borderId="48" xfId="0" applyNumberFormat="1" applyFont="1" applyFill="1" applyBorder="1" applyAlignment="1">
      <alignment vertical="center"/>
    </xf>
    <xf numFmtId="171" fontId="6" fillId="3" borderId="79" xfId="0" applyNumberFormat="1" applyFont="1" applyFill="1" applyBorder="1" applyAlignment="1">
      <alignment vertical="center"/>
    </xf>
    <xf numFmtId="164" fontId="6" fillId="3" borderId="80" xfId="0" applyNumberFormat="1" applyFont="1" applyFill="1" applyBorder="1" applyAlignment="1">
      <alignment vertical="center"/>
    </xf>
    <xf numFmtId="13" fontId="27" fillId="3" borderId="7" xfId="0" applyNumberFormat="1" applyFont="1" applyFill="1" applyBorder="1" applyAlignment="1">
      <alignment vertical="center"/>
    </xf>
    <xf numFmtId="0" fontId="0" fillId="3" borderId="81" xfId="0" applyFill="1" applyBorder="1" applyAlignment="1">
      <alignment vertical="center"/>
    </xf>
    <xf numFmtId="2" fontId="27" fillId="3" borderId="82" xfId="0" applyNumberFormat="1" applyFont="1" applyFill="1" applyBorder="1" applyAlignment="1">
      <alignment vertical="center"/>
    </xf>
    <xf numFmtId="2" fontId="49" fillId="3" borderId="83" xfId="0" applyNumberFormat="1" applyFont="1" applyFill="1" applyBorder="1" applyAlignment="1">
      <alignment vertical="center"/>
    </xf>
    <xf numFmtId="41" fontId="10" fillId="3" borderId="84" xfId="15" applyNumberFormat="1" applyFont="1" applyFill="1" applyBorder="1" applyAlignment="1">
      <alignment/>
    </xf>
    <xf numFmtId="0" fontId="0" fillId="3" borderId="52" xfId="0" applyFill="1" applyBorder="1" applyAlignment="1" applyProtection="1">
      <alignment vertical="center"/>
      <protection locked="0"/>
    </xf>
    <xf numFmtId="0" fontId="0" fillId="3" borderId="48" xfId="0" applyFill="1" applyBorder="1" applyAlignment="1" applyProtection="1">
      <alignment vertical="center"/>
      <protection locked="0"/>
    </xf>
    <xf numFmtId="12" fontId="27" fillId="3" borderId="85" xfId="0" applyNumberFormat="1" applyFont="1" applyFill="1" applyBorder="1" applyAlignment="1">
      <alignment vertical="center"/>
    </xf>
    <xf numFmtId="12" fontId="27" fillId="3" borderId="86" xfId="0" applyNumberFormat="1" applyFont="1" applyFill="1" applyBorder="1" applyAlignment="1">
      <alignment vertical="center"/>
    </xf>
    <xf numFmtId="12" fontId="27" fillId="3" borderId="87" xfId="0" applyNumberFormat="1" applyFont="1" applyFill="1" applyBorder="1" applyAlignment="1">
      <alignment vertical="center"/>
    </xf>
    <xf numFmtId="0" fontId="29" fillId="4" borderId="27" xfId="0" applyFont="1" applyFill="1" applyBorder="1" applyAlignment="1">
      <alignment vertical="center"/>
    </xf>
    <xf numFmtId="0" fontId="29" fillId="4" borderId="88" xfId="0" applyFont="1" applyFill="1" applyBorder="1" applyAlignment="1">
      <alignment vertical="center"/>
    </xf>
    <xf numFmtId="12" fontId="27" fillId="3" borderId="7" xfId="0" applyNumberFormat="1" applyFont="1" applyFill="1" applyBorder="1" applyAlignment="1">
      <alignment vertical="center"/>
    </xf>
    <xf numFmtId="0" fontId="30" fillId="6" borderId="16" xfId="0" applyFont="1" applyFill="1" applyBorder="1" applyAlignment="1">
      <alignment horizontal="center" vertical="center"/>
    </xf>
    <xf numFmtId="0" fontId="30" fillId="6" borderId="18" xfId="0" applyFont="1" applyFill="1" applyBorder="1" applyAlignment="1">
      <alignment horizontal="center" vertical="center"/>
    </xf>
    <xf numFmtId="0" fontId="12" fillId="3" borderId="0" xfId="0" applyFont="1" applyFill="1" applyAlignment="1" applyProtection="1">
      <alignment vertical="center"/>
      <protection/>
    </xf>
    <xf numFmtId="0" fontId="0" fillId="6" borderId="18" xfId="0" applyFill="1" applyBorder="1" applyAlignment="1">
      <alignment vertical="center"/>
    </xf>
    <xf numFmtId="0" fontId="29" fillId="4" borderId="89" xfId="0" applyFont="1" applyFill="1" applyBorder="1" applyAlignment="1">
      <alignment horizontal="center" vertical="center"/>
    </xf>
    <xf numFmtId="0" fontId="29" fillId="4" borderId="90" xfId="0" applyFont="1" applyFill="1" applyBorder="1" applyAlignment="1" applyProtection="1">
      <alignment horizontal="center" vertical="center"/>
      <protection locked="0"/>
    </xf>
    <xf numFmtId="0" fontId="29" fillId="4" borderId="91" xfId="0" applyFont="1" applyFill="1" applyBorder="1" applyAlignment="1">
      <alignment horizontal="center" vertical="center"/>
    </xf>
    <xf numFmtId="0" fontId="29" fillId="4" borderId="92" xfId="0" applyFont="1" applyFill="1" applyBorder="1" applyAlignment="1">
      <alignment horizontal="center" vertical="center"/>
    </xf>
    <xf numFmtId="0" fontId="50" fillId="5" borderId="5" xfId="0" applyFont="1" applyFill="1" applyBorder="1" applyAlignment="1" applyProtection="1">
      <alignment horizontal="center" vertical="center"/>
      <protection locked="0"/>
    </xf>
    <xf numFmtId="0" fontId="50" fillId="5" borderId="6" xfId="0" applyFont="1" applyFill="1" applyBorder="1" applyAlignment="1" applyProtection="1">
      <alignment horizontal="center" vertical="center"/>
      <protection locked="0"/>
    </xf>
    <xf numFmtId="0" fontId="50" fillId="5" borderId="7" xfId="0" applyFont="1" applyFill="1" applyBorder="1" applyAlignment="1" applyProtection="1">
      <alignment horizontal="center" vertical="center"/>
      <protection locked="0"/>
    </xf>
    <xf numFmtId="0" fontId="51" fillId="5" borderId="0" xfId="0" applyFont="1" applyFill="1" applyBorder="1" applyAlignment="1" applyProtection="1">
      <alignment/>
      <protection locked="0"/>
    </xf>
    <xf numFmtId="0" fontId="0" fillId="5" borderId="0" xfId="0" applyFill="1" applyBorder="1" applyAlignment="1">
      <alignment/>
    </xf>
    <xf numFmtId="0" fontId="0" fillId="3" borderId="93" xfId="0" applyFill="1" applyBorder="1" applyAlignment="1" applyProtection="1">
      <alignment/>
      <protection/>
    </xf>
    <xf numFmtId="0" fontId="0" fillId="3" borderId="94" xfId="0" applyFill="1" applyBorder="1" applyAlignment="1" applyProtection="1">
      <alignment/>
      <protection/>
    </xf>
    <xf numFmtId="37" fontId="0" fillId="3" borderId="84" xfId="0" applyNumberFormat="1" applyFill="1" applyBorder="1" applyAlignment="1" applyProtection="1">
      <alignment/>
      <protection/>
    </xf>
    <xf numFmtId="0" fontId="0" fillId="3" borderId="95" xfId="0" applyFill="1" applyBorder="1" applyAlignment="1" applyProtection="1">
      <alignment/>
      <protection/>
    </xf>
    <xf numFmtId="41" fontId="0" fillId="3" borderId="96" xfId="15" applyNumberFormat="1" applyFill="1" applyBorder="1" applyAlignment="1" applyProtection="1">
      <alignment/>
      <protection/>
    </xf>
    <xf numFmtId="0" fontId="0" fillId="3" borderId="97" xfId="0" applyFill="1" applyBorder="1" applyAlignment="1" applyProtection="1">
      <alignment/>
      <protection/>
    </xf>
    <xf numFmtId="0" fontId="0" fillId="3" borderId="98" xfId="0" applyFill="1" applyBorder="1" applyAlignment="1" applyProtection="1">
      <alignment/>
      <protection/>
    </xf>
    <xf numFmtId="43" fontId="0" fillId="3" borderId="96" xfId="15" applyFill="1" applyBorder="1" applyAlignment="1" applyProtection="1">
      <alignment/>
      <protection/>
    </xf>
    <xf numFmtId="0" fontId="0" fillId="3" borderId="99" xfId="0" applyFill="1" applyBorder="1" applyAlignment="1" applyProtection="1">
      <alignment/>
      <protection/>
    </xf>
    <xf numFmtId="0" fontId="0" fillId="6" borderId="100" xfId="0" applyFill="1" applyBorder="1" applyAlignment="1" applyProtection="1">
      <alignment/>
      <protection/>
    </xf>
    <xf numFmtId="0" fontId="0" fillId="6" borderId="101" xfId="0" applyFill="1" applyBorder="1" applyAlignment="1" applyProtection="1">
      <alignment/>
      <protection/>
    </xf>
    <xf numFmtId="0" fontId="7" fillId="6" borderId="102" xfId="0" applyFont="1" applyFill="1" applyBorder="1" applyAlignment="1" applyProtection="1">
      <alignment/>
      <protection/>
    </xf>
    <xf numFmtId="0" fontId="0" fillId="3" borderId="103" xfId="0" applyFill="1" applyBorder="1" applyAlignment="1" applyProtection="1">
      <alignment/>
      <protection/>
    </xf>
    <xf numFmtId="0" fontId="0" fillId="3" borderId="104" xfId="0" applyFill="1" applyBorder="1" applyAlignment="1" applyProtection="1">
      <alignment/>
      <protection/>
    </xf>
    <xf numFmtId="43" fontId="0" fillId="3" borderId="105" xfId="15" applyFill="1" applyBorder="1" applyAlignment="1" applyProtection="1">
      <alignment/>
      <protection/>
    </xf>
    <xf numFmtId="43" fontId="12" fillId="3" borderId="106" xfId="15" applyFont="1" applyFill="1" applyBorder="1" applyAlignment="1" applyProtection="1">
      <alignment/>
      <protection/>
    </xf>
    <xf numFmtId="37" fontId="11" fillId="5" borderId="106" xfId="15" applyNumberFormat="1" applyFont="1" applyFill="1" applyBorder="1" applyAlignment="1" applyProtection="1">
      <alignment/>
      <protection locked="0"/>
    </xf>
    <xf numFmtId="43" fontId="11" fillId="5" borderId="106" xfId="15" applyFont="1" applyFill="1" applyBorder="1" applyAlignment="1" applyProtection="1">
      <alignment/>
      <protection locked="0"/>
    </xf>
    <xf numFmtId="0" fontId="45" fillId="3" borderId="69" xfId="0" applyFont="1" applyFill="1" applyBorder="1" applyAlignment="1">
      <alignment horizontal="center" vertical="center" wrapText="1"/>
    </xf>
    <xf numFmtId="0" fontId="8" fillId="6" borderId="3" xfId="0" applyFont="1" applyFill="1" applyBorder="1" applyAlignment="1">
      <alignment vertical="center"/>
    </xf>
    <xf numFmtId="0" fontId="34" fillId="6" borderId="107" xfId="0" applyFont="1" applyFill="1" applyBorder="1" applyAlignment="1">
      <alignment horizontal="left" vertical="center"/>
    </xf>
    <xf numFmtId="0" fontId="34" fillId="6" borderId="56" xfId="0" applyFont="1" applyFill="1" applyBorder="1" applyAlignment="1">
      <alignment horizontal="left" vertical="center"/>
    </xf>
    <xf numFmtId="0" fontId="0" fillId="6" borderId="21" xfId="0" applyFill="1" applyBorder="1" applyAlignment="1">
      <alignment/>
    </xf>
    <xf numFmtId="0" fontId="0" fillId="6" borderId="29" xfId="0" applyFill="1" applyBorder="1" applyAlignment="1">
      <alignment/>
    </xf>
    <xf numFmtId="13" fontId="27" fillId="3" borderId="4" xfId="0" applyNumberFormat="1" applyFont="1" applyFill="1" applyBorder="1" applyAlignment="1">
      <alignment vertical="center"/>
    </xf>
    <xf numFmtId="13" fontId="27" fillId="3" borderId="3" xfId="0" applyNumberFormat="1" applyFont="1" applyFill="1" applyBorder="1" applyAlignment="1">
      <alignment vertical="center"/>
    </xf>
    <xf numFmtId="13" fontId="27" fillId="3" borderId="5" xfId="0" applyNumberFormat="1" applyFont="1" applyFill="1" applyBorder="1" applyAlignment="1">
      <alignment vertical="center"/>
    </xf>
    <xf numFmtId="0" fontId="10" fillId="3" borderId="106" xfId="0" applyFont="1" applyFill="1" applyBorder="1" applyAlignment="1" applyProtection="1">
      <alignment/>
      <protection/>
    </xf>
    <xf numFmtId="13" fontId="43" fillId="3" borderId="8" xfId="0" applyNumberFormat="1" applyFont="1" applyFill="1" applyBorder="1" applyAlignment="1">
      <alignment horizontal="right" vertical="center"/>
    </xf>
    <xf numFmtId="13" fontId="43" fillId="3" borderId="2" xfId="0" applyNumberFormat="1" applyFont="1" applyFill="1" applyBorder="1" applyAlignment="1">
      <alignment horizontal="right" vertical="center"/>
    </xf>
    <xf numFmtId="13" fontId="43" fillId="3" borderId="6" xfId="0" applyNumberFormat="1" applyFont="1" applyFill="1" applyBorder="1" applyAlignment="1">
      <alignment horizontal="right" vertical="center"/>
    </xf>
    <xf numFmtId="0" fontId="39" fillId="3" borderId="0" xfId="0" applyFont="1" applyFill="1" applyBorder="1" applyAlignment="1">
      <alignment vertical="center"/>
    </xf>
    <xf numFmtId="13" fontId="43" fillId="3" borderId="0" xfId="0" applyNumberFormat="1" applyFont="1" applyFill="1" applyBorder="1" applyAlignment="1">
      <alignment horizontal="right" vertical="center"/>
    </xf>
    <xf numFmtId="0" fontId="0" fillId="3" borderId="0" xfId="0" applyFill="1" applyBorder="1" applyAlignment="1">
      <alignment vertical="center"/>
    </xf>
    <xf numFmtId="13" fontId="54" fillId="3" borderId="18" xfId="0" applyNumberFormat="1" applyFont="1" applyFill="1" applyBorder="1" applyAlignment="1">
      <alignment horizontal="right" vertical="center"/>
    </xf>
    <xf numFmtId="13" fontId="54" fillId="3" borderId="66" xfId="0" applyNumberFormat="1" applyFont="1" applyFill="1" applyBorder="1" applyAlignment="1">
      <alignment horizontal="right" vertical="center"/>
    </xf>
    <xf numFmtId="13" fontId="54" fillId="3" borderId="108" xfId="0" applyNumberFormat="1" applyFont="1" applyFill="1" applyBorder="1" applyAlignment="1">
      <alignment horizontal="right" vertical="center"/>
    </xf>
    <xf numFmtId="12" fontId="27" fillId="3" borderId="11" xfId="0" applyNumberFormat="1" applyFont="1" applyFill="1" applyBorder="1" applyAlignment="1">
      <alignment vertical="center"/>
    </xf>
    <xf numFmtId="12" fontId="27" fillId="3" borderId="14" xfId="0" applyNumberFormat="1" applyFont="1" applyFill="1" applyBorder="1" applyAlignment="1">
      <alignment vertical="center"/>
    </xf>
    <xf numFmtId="0" fontId="0" fillId="4" borderId="109" xfId="0" applyFill="1" applyBorder="1" applyAlignment="1" applyProtection="1">
      <alignment horizontal="center" vertical="center"/>
      <protection locked="0"/>
    </xf>
    <xf numFmtId="12" fontId="27" fillId="3" borderId="2" xfId="0" applyNumberFormat="1" applyFont="1" applyFill="1" applyBorder="1" applyAlignment="1">
      <alignment vertical="center"/>
    </xf>
    <xf numFmtId="0" fontId="25" fillId="3" borderId="0" xfId="0" applyFont="1" applyFill="1" applyAlignment="1">
      <alignment vertical="top"/>
    </xf>
    <xf numFmtId="0" fontId="39" fillId="3" borderId="70" xfId="0" applyFont="1" applyFill="1" applyBorder="1" applyAlignment="1">
      <alignment vertical="center"/>
    </xf>
    <xf numFmtId="0" fontId="39" fillId="3" borderId="21" xfId="0" applyFont="1" applyFill="1" applyBorder="1" applyAlignment="1">
      <alignment vertical="center"/>
    </xf>
    <xf numFmtId="0" fontId="39" fillId="3" borderId="22" xfId="0" applyFont="1" applyFill="1" applyBorder="1" applyAlignment="1">
      <alignment vertical="center"/>
    </xf>
    <xf numFmtId="0" fontId="39" fillId="3" borderId="110" xfId="0" applyFont="1" applyFill="1" applyBorder="1" applyAlignment="1">
      <alignment vertical="center"/>
    </xf>
    <xf numFmtId="0" fontId="39" fillId="3" borderId="29" xfId="0" applyFont="1" applyFill="1" applyBorder="1" applyAlignment="1">
      <alignment vertical="center"/>
    </xf>
    <xf numFmtId="0" fontId="39" fillId="3" borderId="111" xfId="0" applyFont="1" applyFill="1" applyBorder="1" applyAlignment="1">
      <alignment vertical="center"/>
    </xf>
    <xf numFmtId="0" fontId="3" fillId="3" borderId="0" xfId="0" applyFont="1" applyFill="1" applyAlignment="1">
      <alignment horizontal="center"/>
    </xf>
    <xf numFmtId="0" fontId="0" fillId="3" borderId="11" xfId="0" applyFill="1" applyBorder="1" applyAlignment="1" applyProtection="1">
      <alignment horizontal="right" vertical="center"/>
      <protection locked="0"/>
    </xf>
    <xf numFmtId="0" fontId="29" fillId="4" borderId="112" xfId="0" applyFont="1" applyFill="1" applyBorder="1" applyAlignment="1" applyProtection="1">
      <alignment horizontal="right" vertical="center"/>
      <protection locked="0"/>
    </xf>
    <xf numFmtId="1" fontId="55" fillId="3" borderId="72" xfId="15" applyNumberFormat="1" applyFont="1" applyFill="1" applyBorder="1" applyAlignment="1">
      <alignment horizontal="right" vertical="center"/>
    </xf>
    <xf numFmtId="12" fontId="0" fillId="3" borderId="113" xfId="0" applyNumberFormat="1" applyFill="1" applyBorder="1" applyAlignment="1">
      <alignment vertical="center"/>
    </xf>
    <xf numFmtId="0" fontId="53" fillId="3" borderId="0" xfId="0" applyFont="1" applyFill="1" applyAlignment="1" applyProtection="1">
      <alignment vertical="center"/>
      <protection/>
    </xf>
    <xf numFmtId="0" fontId="3" fillId="3" borderId="0" xfId="0" applyFont="1" applyFill="1" applyAlignment="1">
      <alignment/>
    </xf>
    <xf numFmtId="0" fontId="7" fillId="6" borderId="114" xfId="0" applyFont="1" applyFill="1" applyBorder="1" applyAlignment="1" applyProtection="1">
      <alignment/>
      <protection/>
    </xf>
    <xf numFmtId="0" fontId="0" fillId="6" borderId="115" xfId="0" applyFill="1" applyBorder="1" applyAlignment="1" applyProtection="1">
      <alignment/>
      <protection/>
    </xf>
    <xf numFmtId="0" fontId="0" fillId="3" borderId="116" xfId="0" applyFill="1" applyBorder="1" applyAlignment="1" applyProtection="1">
      <alignment/>
      <protection/>
    </xf>
    <xf numFmtId="0" fontId="0" fillId="3" borderId="74" xfId="0" applyFill="1" applyBorder="1" applyAlignment="1" applyProtection="1">
      <alignment/>
      <protection/>
    </xf>
    <xf numFmtId="0" fontId="0" fillId="3" borderId="117" xfId="0" applyFill="1" applyBorder="1" applyAlignment="1" applyProtection="1">
      <alignment/>
      <protection/>
    </xf>
    <xf numFmtId="0" fontId="0" fillId="3" borderId="118" xfId="0" applyFill="1" applyBorder="1" applyAlignment="1" applyProtection="1">
      <alignment/>
      <protection/>
    </xf>
    <xf numFmtId="13" fontId="0" fillId="3" borderId="119" xfId="0" applyNumberFormat="1" applyFill="1" applyBorder="1" applyAlignment="1" applyProtection="1">
      <alignment/>
      <protection/>
    </xf>
    <xf numFmtId="164" fontId="0" fillId="3" borderId="0" xfId="15" applyNumberFormat="1" applyFill="1" applyBorder="1" applyAlignment="1" applyProtection="1">
      <alignment/>
      <protection/>
    </xf>
    <xf numFmtId="188" fontId="10" fillId="3" borderId="0" xfId="0" applyNumberFormat="1" applyFont="1" applyFill="1" applyBorder="1" applyAlignment="1" applyProtection="1">
      <alignment/>
      <protection/>
    </xf>
    <xf numFmtId="187" fontId="0" fillId="3" borderId="94" xfId="15" applyNumberFormat="1" applyFill="1" applyBorder="1" applyAlignment="1" applyProtection="1">
      <alignment/>
      <protection/>
    </xf>
    <xf numFmtId="164" fontId="0" fillId="3" borderId="94" xfId="15" applyNumberFormat="1" applyFill="1" applyBorder="1" applyAlignment="1" applyProtection="1">
      <alignment/>
      <protection/>
    </xf>
    <xf numFmtId="0" fontId="0" fillId="3" borderId="120" xfId="0" applyFill="1" applyBorder="1" applyAlignment="1" applyProtection="1">
      <alignment/>
      <protection/>
    </xf>
    <xf numFmtId="0" fontId="11" fillId="5" borderId="121" xfId="0" applyFont="1" applyFill="1" applyBorder="1" applyAlignment="1" applyProtection="1">
      <alignment/>
      <protection locked="0"/>
    </xf>
    <xf numFmtId="0" fontId="11" fillId="5" borderId="94" xfId="0" applyFont="1" applyFill="1" applyBorder="1" applyAlignment="1" applyProtection="1">
      <alignment/>
      <protection locked="0"/>
    </xf>
    <xf numFmtId="39" fontId="11" fillId="0" borderId="34" xfId="0" applyNumberFormat="1" applyFont="1" applyBorder="1" applyAlignment="1" applyProtection="1">
      <alignment/>
      <protection locked="0"/>
    </xf>
    <xf numFmtId="39" fontId="12" fillId="3" borderId="49" xfId="15" applyNumberFormat="1" applyFont="1" applyFill="1" applyBorder="1" applyAlignment="1" applyProtection="1">
      <alignment/>
      <protection/>
    </xf>
    <xf numFmtId="0" fontId="57" fillId="3" borderId="0" xfId="0" applyFont="1" applyFill="1" applyAlignment="1">
      <alignment vertical="center"/>
    </xf>
    <xf numFmtId="12" fontId="0" fillId="3" borderId="0" xfId="0" applyNumberFormat="1" applyFill="1" applyAlignment="1">
      <alignment vertical="center"/>
    </xf>
    <xf numFmtId="175" fontId="27" fillId="3" borderId="4" xfId="0" applyNumberFormat="1" applyFont="1" applyFill="1" applyBorder="1" applyAlignment="1">
      <alignment vertical="center"/>
    </xf>
    <xf numFmtId="175" fontId="0" fillId="3" borderId="94" xfId="0" applyNumberFormat="1" applyFill="1" applyBorder="1" applyAlignment="1" applyProtection="1">
      <alignment/>
      <protection/>
    </xf>
    <xf numFmtId="164" fontId="0" fillId="3" borderId="94" xfId="0" applyNumberFormat="1" applyFill="1" applyBorder="1" applyAlignment="1" applyProtection="1">
      <alignment/>
      <protection/>
    </xf>
    <xf numFmtId="0" fontId="0" fillId="0" borderId="0" xfId="0" applyNumberFormat="1" applyAlignment="1">
      <alignment/>
    </xf>
    <xf numFmtId="174" fontId="0" fillId="0" borderId="0" xfId="15" applyNumberFormat="1" applyAlignment="1">
      <alignment/>
    </xf>
    <xf numFmtId="187" fontId="0" fillId="0" borderId="0" xfId="15" applyNumberFormat="1" applyAlignment="1">
      <alignment/>
    </xf>
    <xf numFmtId="174" fontId="0" fillId="7" borderId="1" xfId="15" applyNumberFormat="1" applyFill="1" applyBorder="1" applyAlignment="1">
      <alignment/>
    </xf>
    <xf numFmtId="174" fontId="0" fillId="8" borderId="1" xfId="15" applyNumberFormat="1" applyFill="1" applyBorder="1" applyAlignment="1">
      <alignment/>
    </xf>
    <xf numFmtId="190" fontId="0" fillId="8" borderId="1" xfId="0" applyNumberFormat="1" applyFill="1" applyBorder="1" applyAlignment="1">
      <alignment/>
    </xf>
    <xf numFmtId="191" fontId="0" fillId="8" borderId="1" xfId="0" applyNumberFormat="1" applyFill="1" applyBorder="1" applyAlignment="1">
      <alignment/>
    </xf>
    <xf numFmtId="191" fontId="0" fillId="0" borderId="0" xfId="0" applyNumberFormat="1" applyAlignment="1">
      <alignment/>
    </xf>
    <xf numFmtId="192" fontId="16" fillId="0" borderId="1" xfId="0" applyNumberFormat="1" applyFont="1" applyFill="1" applyBorder="1" applyAlignment="1">
      <alignment/>
    </xf>
    <xf numFmtId="190" fontId="0" fillId="0" borderId="0" xfId="0" applyNumberFormat="1" applyFill="1" applyBorder="1" applyAlignment="1">
      <alignment/>
    </xf>
    <xf numFmtId="0" fontId="0" fillId="3" borderId="58" xfId="0" applyFill="1" applyBorder="1" applyAlignment="1" applyProtection="1">
      <alignment/>
      <protection locked="0"/>
    </xf>
    <xf numFmtId="192" fontId="6" fillId="3" borderId="1" xfId="0" applyNumberFormat="1" applyFont="1" applyFill="1" applyBorder="1" applyAlignment="1">
      <alignment/>
    </xf>
    <xf numFmtId="191" fontId="0" fillId="3" borderId="0" xfId="0" applyNumberFormat="1" applyFill="1" applyAlignment="1">
      <alignment/>
    </xf>
    <xf numFmtId="190" fontId="0" fillId="3" borderId="0" xfId="0" applyNumberFormat="1" applyFill="1" applyAlignment="1">
      <alignment/>
    </xf>
    <xf numFmtId="0" fontId="7" fillId="4" borderId="42" xfId="0" applyFont="1" applyFill="1" applyBorder="1" applyAlignment="1">
      <alignment horizontal="center"/>
    </xf>
    <xf numFmtId="0" fontId="7" fillId="4" borderId="45" xfId="0" applyFont="1" applyFill="1" applyBorder="1" applyAlignment="1">
      <alignment horizontal="center"/>
    </xf>
    <xf numFmtId="0" fontId="10" fillId="3" borderId="0" xfId="0" applyFont="1" applyFill="1" applyAlignment="1" applyProtection="1">
      <alignment/>
      <protection/>
    </xf>
    <xf numFmtId="0" fontId="0" fillId="3" borderId="122" xfId="0" applyFill="1" applyBorder="1" applyAlignment="1" applyProtection="1">
      <alignment/>
      <protection/>
    </xf>
    <xf numFmtId="0" fontId="0" fillId="3" borderId="123" xfId="0" applyFill="1" applyBorder="1" applyAlignment="1" applyProtection="1">
      <alignment/>
      <protection/>
    </xf>
    <xf numFmtId="0" fontId="0" fillId="3" borderId="124" xfId="0" applyFill="1" applyBorder="1" applyAlignment="1" applyProtection="1">
      <alignment/>
      <protection/>
    </xf>
    <xf numFmtId="0" fontId="0" fillId="3" borderId="125" xfId="0" applyFill="1" applyBorder="1" applyAlignment="1" applyProtection="1">
      <alignment/>
      <protection/>
    </xf>
    <xf numFmtId="0" fontId="0" fillId="3" borderId="126" xfId="0" applyFill="1" applyBorder="1" applyAlignment="1" applyProtection="1">
      <alignment/>
      <protection/>
    </xf>
    <xf numFmtId="0" fontId="0" fillId="3" borderId="127" xfId="0" applyFill="1" applyBorder="1" applyAlignment="1" applyProtection="1">
      <alignment/>
      <protection/>
    </xf>
    <xf numFmtId="0" fontId="0" fillId="3" borderId="128" xfId="0" applyFill="1" applyBorder="1" applyAlignment="1" applyProtection="1">
      <alignment/>
      <protection/>
    </xf>
    <xf numFmtId="0" fontId="0" fillId="3" borderId="129" xfId="0" applyFill="1" applyBorder="1" applyAlignment="1" applyProtection="1">
      <alignment/>
      <protection/>
    </xf>
    <xf numFmtId="0" fontId="0" fillId="3" borderId="123" xfId="0" applyFill="1" applyBorder="1" applyAlignment="1">
      <alignment/>
    </xf>
    <xf numFmtId="175" fontId="0" fillId="3" borderId="0" xfId="0" applyNumberFormat="1" applyFill="1" applyBorder="1" applyAlignment="1" applyProtection="1">
      <alignment/>
      <protection/>
    </xf>
    <xf numFmtId="0" fontId="56" fillId="3" borderId="0" xfId="0" applyFont="1" applyFill="1" applyBorder="1" applyAlignment="1" applyProtection="1">
      <alignment/>
      <protection/>
    </xf>
    <xf numFmtId="41" fontId="0" fillId="3" borderId="0" xfId="15" applyNumberFormat="1" applyFill="1" applyBorder="1" applyAlignment="1" applyProtection="1">
      <alignment/>
      <protection/>
    </xf>
    <xf numFmtId="0" fontId="3" fillId="3" borderId="0" xfId="0" applyFont="1" applyFill="1" applyBorder="1" applyAlignment="1" applyProtection="1">
      <alignment/>
      <protection/>
    </xf>
    <xf numFmtId="0" fontId="25" fillId="3" borderId="126" xfId="0" applyFont="1" applyFill="1" applyBorder="1" applyAlignment="1" applyProtection="1">
      <alignment horizontal="center"/>
      <protection/>
    </xf>
    <xf numFmtId="173" fontId="12" fillId="3" borderId="125" xfId="15" applyNumberFormat="1" applyFont="1" applyFill="1" applyBorder="1" applyAlignment="1" applyProtection="1">
      <alignment/>
      <protection/>
    </xf>
    <xf numFmtId="0" fontId="25" fillId="3" borderId="126" xfId="0" applyFont="1" applyFill="1" applyBorder="1" applyAlignment="1" applyProtection="1">
      <alignment/>
      <protection/>
    </xf>
    <xf numFmtId="175" fontId="12" fillId="3" borderId="44" xfId="15" applyNumberFormat="1" applyFont="1" applyFill="1" applyBorder="1" applyAlignment="1" applyProtection="1">
      <alignment/>
      <protection/>
    </xf>
    <xf numFmtId="174" fontId="12" fillId="3" borderId="0" xfId="15" applyNumberFormat="1" applyFont="1" applyFill="1" applyBorder="1" applyAlignment="1" applyProtection="1">
      <alignment/>
      <protection/>
    </xf>
    <xf numFmtId="0" fontId="0" fillId="3" borderId="0" xfId="0" applyFill="1" applyBorder="1" applyAlignment="1">
      <alignment/>
    </xf>
    <xf numFmtId="0" fontId="0" fillId="3" borderId="130" xfId="0" applyFill="1" applyBorder="1" applyAlignment="1" applyProtection="1">
      <alignment/>
      <protection/>
    </xf>
    <xf numFmtId="0" fontId="10" fillId="3" borderId="0" xfId="0" applyFont="1" applyFill="1" applyBorder="1" applyAlignment="1" applyProtection="1">
      <alignment/>
      <protection/>
    </xf>
    <xf numFmtId="0" fontId="10" fillId="3" borderId="126" xfId="0" applyFont="1" applyFill="1" applyBorder="1" applyAlignment="1" applyProtection="1">
      <alignment/>
      <protection/>
    </xf>
    <xf numFmtId="0" fontId="0" fillId="3" borderId="0" xfId="0" applyFill="1" applyBorder="1" applyAlignment="1" applyProtection="1">
      <alignment horizontal="center"/>
      <protection/>
    </xf>
    <xf numFmtId="0" fontId="6" fillId="3" borderId="0" xfId="0" applyFont="1" applyFill="1" applyBorder="1" applyAlignment="1" applyProtection="1">
      <alignment horizontal="center"/>
      <protection/>
    </xf>
    <xf numFmtId="0" fontId="0" fillId="3" borderId="1" xfId="0" applyFill="1" applyBorder="1" applyAlignment="1" applyProtection="1">
      <alignment/>
      <protection/>
    </xf>
    <xf numFmtId="174" fontId="0" fillId="3" borderId="1" xfId="15" applyNumberFormat="1" applyFill="1" applyBorder="1" applyAlignment="1" applyProtection="1">
      <alignment/>
      <protection/>
    </xf>
    <xf numFmtId="174" fontId="0" fillId="3" borderId="0" xfId="15" applyNumberFormat="1" applyFill="1" applyBorder="1" applyAlignment="1" applyProtection="1">
      <alignment/>
      <protection/>
    </xf>
    <xf numFmtId="187" fontId="0" fillId="3" borderId="1" xfId="15" applyNumberFormat="1" applyFont="1" applyFill="1" applyBorder="1" applyAlignment="1" applyProtection="1">
      <alignment/>
      <protection/>
    </xf>
    <xf numFmtId="0" fontId="0" fillId="3" borderId="125" xfId="0" applyFill="1" applyBorder="1" applyAlignment="1" applyProtection="1">
      <alignment horizontal="center"/>
      <protection/>
    </xf>
    <xf numFmtId="0" fontId="0" fillId="3" borderId="126" xfId="0" applyFill="1" applyBorder="1" applyAlignment="1" applyProtection="1">
      <alignment horizontal="center"/>
      <protection/>
    </xf>
    <xf numFmtId="174" fontId="0" fillId="3" borderId="126" xfId="15" applyNumberFormat="1" applyFill="1" applyBorder="1" applyAlignment="1" applyProtection="1">
      <alignment/>
      <protection/>
    </xf>
    <xf numFmtId="187" fontId="0" fillId="3" borderId="1" xfId="15" applyNumberFormat="1" applyFill="1" applyBorder="1" applyAlignment="1" applyProtection="1">
      <alignment/>
      <protection/>
    </xf>
    <xf numFmtId="0" fontId="7" fillId="3" borderId="0" xfId="0" applyFont="1" applyFill="1" applyBorder="1" applyAlignment="1" applyProtection="1">
      <alignment/>
      <protection/>
    </xf>
    <xf numFmtId="187" fontId="0" fillId="9" borderId="1" xfId="15" applyNumberFormat="1" applyFill="1" applyBorder="1" applyAlignment="1" applyProtection="1">
      <alignment/>
      <protection/>
    </xf>
    <xf numFmtId="187" fontId="0" fillId="9" borderId="1" xfId="15" applyNumberFormat="1" applyFont="1" applyFill="1" applyBorder="1" applyAlignment="1" applyProtection="1">
      <alignment/>
      <protection/>
    </xf>
    <xf numFmtId="187" fontId="0" fillId="8" borderId="1" xfId="15" applyNumberFormat="1" applyFill="1" applyBorder="1" applyAlignment="1" applyProtection="1">
      <alignment/>
      <protection/>
    </xf>
    <xf numFmtId="187" fontId="0" fillId="8" borderId="1" xfId="15" applyNumberFormat="1" applyFont="1" applyFill="1" applyBorder="1" applyAlignment="1" applyProtection="1">
      <alignment/>
      <protection/>
    </xf>
    <xf numFmtId="187" fontId="0" fillId="10" borderId="1" xfId="15" applyNumberFormat="1" applyFill="1" applyBorder="1" applyAlignment="1" applyProtection="1">
      <alignment/>
      <protection/>
    </xf>
    <xf numFmtId="187" fontId="0" fillId="10" borderId="1" xfId="15" applyNumberFormat="1" applyFont="1" applyFill="1" applyBorder="1" applyAlignment="1" applyProtection="1">
      <alignment/>
      <protection/>
    </xf>
    <xf numFmtId="0" fontId="7" fillId="4" borderId="0" xfId="0" applyFont="1" applyFill="1" applyAlignment="1">
      <alignment/>
    </xf>
    <xf numFmtId="0" fontId="7" fillId="3" borderId="0" xfId="0" applyFont="1" applyFill="1" applyAlignment="1">
      <alignment/>
    </xf>
    <xf numFmtId="0" fontId="0" fillId="3" borderId="60" xfId="0" applyFill="1" applyBorder="1" applyAlignment="1" applyProtection="1">
      <alignment horizontal="center"/>
      <protection locked="0"/>
    </xf>
    <xf numFmtId="0" fontId="0" fillId="3" borderId="0" xfId="0" applyFill="1" applyBorder="1" applyAlignment="1" applyProtection="1">
      <alignment/>
      <protection locked="0"/>
    </xf>
    <xf numFmtId="0" fontId="0" fillId="3" borderId="48" xfId="0" applyFill="1" applyBorder="1" applyAlignment="1" applyProtection="1">
      <alignment/>
      <protection locked="0"/>
    </xf>
    <xf numFmtId="0" fontId="0" fillId="3" borderId="14" xfId="0" applyFill="1" applyBorder="1" applyAlignment="1" applyProtection="1">
      <alignment/>
      <protection locked="0"/>
    </xf>
    <xf numFmtId="0" fontId="0" fillId="3" borderId="15" xfId="0" applyFill="1" applyBorder="1" applyAlignment="1" applyProtection="1">
      <alignment/>
      <protection locked="0"/>
    </xf>
    <xf numFmtId="0" fontId="50" fillId="3" borderId="0" xfId="0" applyFont="1" applyFill="1" applyBorder="1" applyAlignment="1" applyProtection="1">
      <alignment/>
      <protection/>
    </xf>
    <xf numFmtId="0" fontId="0" fillId="3" borderId="0" xfId="0" applyFont="1" applyFill="1" applyAlignment="1" applyProtection="1">
      <alignment/>
      <protection locked="0"/>
    </xf>
    <xf numFmtId="43" fontId="0" fillId="3" borderId="1" xfId="15" applyNumberFormat="1" applyFont="1" applyFill="1" applyBorder="1" applyAlignment="1">
      <alignment/>
    </xf>
    <xf numFmtId="187" fontId="6" fillId="3" borderId="0" xfId="15" applyNumberFormat="1" applyFont="1" applyFill="1" applyAlignment="1">
      <alignment horizontal="center"/>
    </xf>
    <xf numFmtId="2" fontId="0" fillId="3" borderId="0" xfId="0" applyNumberFormat="1" applyFill="1" applyAlignment="1">
      <alignment/>
    </xf>
    <xf numFmtId="194" fontId="0" fillId="3" borderId="0" xfId="0" applyNumberFormat="1" applyFill="1" applyAlignment="1">
      <alignment/>
    </xf>
    <xf numFmtId="2" fontId="0" fillId="3" borderId="0" xfId="0" applyNumberFormat="1" applyFill="1" applyBorder="1" applyAlignment="1">
      <alignment/>
    </xf>
    <xf numFmtId="190" fontId="0" fillId="3" borderId="0" xfId="0" applyNumberFormat="1" applyFill="1" applyBorder="1" applyAlignment="1">
      <alignment/>
    </xf>
    <xf numFmtId="0" fontId="0" fillId="3" borderId="0" xfId="0" applyFill="1" applyBorder="1" applyAlignment="1">
      <alignment/>
    </xf>
    <xf numFmtId="0" fontId="59" fillId="4" borderId="0" xfId="0" applyFont="1" applyFill="1" applyAlignment="1">
      <alignment/>
    </xf>
    <xf numFmtId="0" fontId="59" fillId="3" borderId="0" xfId="0" applyFont="1" applyFill="1" applyAlignment="1">
      <alignment/>
    </xf>
    <xf numFmtId="0" fontId="0" fillId="3" borderId="0" xfId="0" applyFill="1" applyAlignment="1">
      <alignment horizontal="right"/>
    </xf>
    <xf numFmtId="192" fontId="0" fillId="3" borderId="1" xfId="0" applyNumberFormat="1" applyFill="1" applyBorder="1" applyAlignment="1">
      <alignment/>
    </xf>
    <xf numFmtId="175" fontId="0" fillId="3" borderId="1" xfId="0" applyNumberFormat="1" applyFill="1" applyBorder="1" applyAlignment="1">
      <alignment/>
    </xf>
    <xf numFmtId="0" fontId="10" fillId="3" borderId="0" xfId="0" applyFont="1" applyFill="1" applyAlignment="1">
      <alignment/>
    </xf>
    <xf numFmtId="194" fontId="10" fillId="3" borderId="0" xfId="0" applyNumberFormat="1" applyFont="1" applyFill="1" applyAlignment="1">
      <alignment/>
    </xf>
    <xf numFmtId="190" fontId="10" fillId="3" borderId="0" xfId="0" applyNumberFormat="1" applyFont="1" applyFill="1" applyAlignment="1">
      <alignment/>
    </xf>
    <xf numFmtId="191" fontId="10" fillId="3" borderId="0" xfId="0" applyNumberFormat="1" applyFont="1" applyFill="1" applyBorder="1" applyAlignment="1">
      <alignment/>
    </xf>
    <xf numFmtId="190" fontId="10" fillId="3" borderId="0" xfId="0" applyNumberFormat="1" applyFont="1" applyFill="1" applyBorder="1" applyAlignment="1">
      <alignment/>
    </xf>
    <xf numFmtId="0" fontId="8" fillId="4" borderId="122" xfId="0" applyFont="1" applyFill="1" applyBorder="1" applyAlignment="1">
      <alignment horizontal="right"/>
    </xf>
    <xf numFmtId="0" fontId="0" fillId="3" borderId="125" xfId="0" applyFill="1" applyBorder="1" applyAlignment="1">
      <alignment/>
    </xf>
    <xf numFmtId="0" fontId="0" fillId="3" borderId="127" xfId="0" applyFill="1" applyBorder="1" applyAlignment="1">
      <alignment/>
    </xf>
    <xf numFmtId="192" fontId="0" fillId="3" borderId="131" xfId="0" applyNumberFormat="1" applyFill="1" applyBorder="1" applyAlignment="1">
      <alignment/>
    </xf>
    <xf numFmtId="190" fontId="0" fillId="3" borderId="128" xfId="0" applyNumberFormat="1" applyFill="1" applyBorder="1" applyAlignment="1">
      <alignment/>
    </xf>
    <xf numFmtId="0" fontId="0" fillId="3" borderId="128" xfId="0" applyFill="1" applyBorder="1" applyAlignment="1">
      <alignment/>
    </xf>
    <xf numFmtId="194" fontId="0" fillId="3" borderId="0" xfId="0" applyNumberFormat="1" applyFill="1" applyAlignment="1">
      <alignment horizontal="right"/>
    </xf>
    <xf numFmtId="190" fontId="0" fillId="3" borderId="0" xfId="0" applyNumberFormat="1" applyFill="1" applyAlignment="1">
      <alignment horizontal="right"/>
    </xf>
    <xf numFmtId="0" fontId="10" fillId="3" borderId="0" xfId="0" applyFont="1" applyFill="1" applyAlignment="1">
      <alignment horizontal="right"/>
    </xf>
    <xf numFmtId="193" fontId="11" fillId="0" borderId="132" xfId="15" applyNumberFormat="1" applyFont="1" applyFill="1" applyBorder="1" applyAlignment="1">
      <alignment/>
    </xf>
    <xf numFmtId="194" fontId="11" fillId="0" borderId="133" xfId="0" applyNumberFormat="1" applyFont="1" applyFill="1" applyBorder="1" applyAlignment="1">
      <alignment/>
    </xf>
    <xf numFmtId="194" fontId="11" fillId="0" borderId="134" xfId="0" applyNumberFormat="1" applyFont="1" applyFill="1" applyBorder="1" applyAlignment="1">
      <alignment/>
    </xf>
    <xf numFmtId="2" fontId="0" fillId="3" borderId="135" xfId="0" applyNumberFormat="1" applyFill="1" applyBorder="1" applyAlignment="1">
      <alignment/>
    </xf>
    <xf numFmtId="2" fontId="0" fillId="3" borderId="136" xfId="0" applyNumberFormat="1" applyFill="1" applyBorder="1" applyAlignment="1">
      <alignment/>
    </xf>
    <xf numFmtId="0" fontId="0" fillId="3" borderId="135" xfId="0" applyFill="1" applyBorder="1" applyAlignment="1">
      <alignment/>
    </xf>
    <xf numFmtId="0" fontId="0" fillId="3" borderId="136" xfId="0" applyFill="1" applyBorder="1" applyAlignment="1">
      <alignment/>
    </xf>
    <xf numFmtId="190" fontId="0" fillId="3" borderId="137" xfId="0" applyNumberFormat="1" applyFill="1" applyBorder="1" applyAlignment="1">
      <alignment/>
    </xf>
    <xf numFmtId="190" fontId="0" fillId="3" borderId="138" xfId="0" applyNumberFormat="1" applyFill="1" applyBorder="1" applyAlignment="1">
      <alignment/>
    </xf>
    <xf numFmtId="190" fontId="10" fillId="3" borderId="138" xfId="0" applyNumberFormat="1" applyFont="1" applyFill="1" applyBorder="1" applyAlignment="1">
      <alignment/>
    </xf>
    <xf numFmtId="190" fontId="0" fillId="3" borderId="139" xfId="0" applyNumberFormat="1" applyFill="1" applyBorder="1" applyAlignment="1">
      <alignment/>
    </xf>
    <xf numFmtId="0" fontId="0" fillId="3" borderId="137" xfId="0" applyFill="1" applyBorder="1" applyAlignment="1">
      <alignment/>
    </xf>
    <xf numFmtId="0" fontId="0" fillId="3" borderId="138" xfId="0" applyFill="1" applyBorder="1" applyAlignment="1">
      <alignment/>
    </xf>
    <xf numFmtId="2" fontId="10" fillId="3" borderId="0" xfId="0" applyNumberFormat="1" applyFont="1" applyFill="1" applyBorder="1" applyAlignment="1">
      <alignment/>
    </xf>
    <xf numFmtId="0" fontId="0" fillId="3" borderId="126" xfId="0" applyFill="1" applyBorder="1" applyAlignment="1" applyProtection="1">
      <alignment/>
      <protection locked="0"/>
    </xf>
    <xf numFmtId="0" fontId="0" fillId="3" borderId="129" xfId="0" applyFill="1" applyBorder="1" applyAlignment="1" applyProtection="1">
      <alignment/>
      <protection locked="0"/>
    </xf>
    <xf numFmtId="0" fontId="10" fillId="3" borderId="0" xfId="0" applyFont="1" applyFill="1" applyAlignment="1" applyProtection="1">
      <alignment/>
      <protection locked="0"/>
    </xf>
    <xf numFmtId="175" fontId="0" fillId="3" borderId="131" xfId="0" applyNumberFormat="1" applyFill="1" applyBorder="1" applyAlignment="1">
      <alignment/>
    </xf>
    <xf numFmtId="0" fontId="3" fillId="3" borderId="0" xfId="0" applyFont="1" applyFill="1" applyBorder="1" applyAlignment="1">
      <alignment/>
    </xf>
    <xf numFmtId="0" fontId="57" fillId="4" borderId="0" xfId="0" applyFont="1" applyFill="1" applyAlignment="1">
      <alignment/>
    </xf>
    <xf numFmtId="190" fontId="0" fillId="3" borderId="0" xfId="0" applyNumberFormat="1" applyFill="1" applyBorder="1" applyAlignment="1" applyProtection="1">
      <alignment/>
      <protection locked="0"/>
    </xf>
    <xf numFmtId="190" fontId="11" fillId="0" borderId="140" xfId="0" applyNumberFormat="1" applyFont="1" applyFill="1" applyBorder="1" applyAlignment="1">
      <alignment/>
    </xf>
    <xf numFmtId="190" fontId="0" fillId="3" borderId="125" xfId="0" applyNumberFormat="1" applyFill="1" applyBorder="1" applyAlignment="1">
      <alignment/>
    </xf>
    <xf numFmtId="190" fontId="10" fillId="3" borderId="125" xfId="0" applyNumberFormat="1" applyFont="1" applyFill="1" applyBorder="1" applyAlignment="1">
      <alignment/>
    </xf>
    <xf numFmtId="190" fontId="11" fillId="0" borderId="141" xfId="0" applyNumberFormat="1" applyFont="1" applyFill="1" applyBorder="1" applyAlignment="1">
      <alignment/>
    </xf>
    <xf numFmtId="190" fontId="11" fillId="0" borderId="142" xfId="0" applyNumberFormat="1" applyFont="1" applyFill="1" applyBorder="1" applyAlignment="1">
      <alignment/>
    </xf>
    <xf numFmtId="174" fontId="11" fillId="0" borderId="143" xfId="15" applyNumberFormat="1" applyFont="1" applyFill="1" applyBorder="1" applyAlignment="1">
      <alignment/>
    </xf>
    <xf numFmtId="174" fontId="0" fillId="3" borderId="57" xfId="0" applyNumberFormat="1" applyFill="1" applyBorder="1" applyAlignment="1">
      <alignment/>
    </xf>
    <xf numFmtId="174" fontId="10" fillId="3" borderId="144" xfId="0" applyNumberFormat="1" applyFont="1" applyFill="1" applyBorder="1" applyAlignment="1">
      <alignment/>
    </xf>
    <xf numFmtId="174" fontId="11" fillId="0" borderId="145" xfId="15" applyNumberFormat="1" applyFont="1" applyFill="1" applyBorder="1" applyAlignment="1">
      <alignment/>
    </xf>
    <xf numFmtId="174" fontId="0" fillId="3" borderId="144" xfId="0" applyNumberFormat="1" applyFill="1" applyBorder="1" applyAlignment="1">
      <alignment/>
    </xf>
    <xf numFmtId="174" fontId="10" fillId="3" borderId="42" xfId="0" applyNumberFormat="1" applyFont="1" applyFill="1" applyBorder="1" applyAlignment="1">
      <alignment/>
    </xf>
    <xf numFmtId="174" fontId="11" fillId="0" borderId="146" xfId="15" applyNumberFormat="1" applyFont="1" applyFill="1" applyBorder="1" applyAlignment="1">
      <alignment/>
    </xf>
    <xf numFmtId="191" fontId="10" fillId="3" borderId="0" xfId="0" applyNumberFormat="1" applyFont="1" applyFill="1" applyAlignment="1">
      <alignment/>
    </xf>
    <xf numFmtId="0" fontId="0" fillId="3" borderId="57" xfId="0" applyFill="1" applyBorder="1" applyAlignment="1" applyProtection="1">
      <alignment/>
      <protection locked="0"/>
    </xf>
    <xf numFmtId="0" fontId="0" fillId="3" borderId="147" xfId="0" applyFill="1" applyBorder="1" applyAlignment="1" applyProtection="1">
      <alignment/>
      <protection locked="0"/>
    </xf>
    <xf numFmtId="0" fontId="0" fillId="3" borderId="148" xfId="0" applyFill="1" applyBorder="1" applyAlignment="1" applyProtection="1">
      <alignment/>
      <protection locked="0"/>
    </xf>
    <xf numFmtId="0" fontId="0" fillId="3" borderId="144" xfId="0" applyFill="1" applyBorder="1" applyAlignment="1" applyProtection="1">
      <alignment/>
      <protection locked="0"/>
    </xf>
    <xf numFmtId="0" fontId="0" fillId="3" borderId="149" xfId="0" applyFill="1" applyBorder="1" applyAlignment="1" applyProtection="1">
      <alignment/>
      <protection locked="0"/>
    </xf>
    <xf numFmtId="190" fontId="0" fillId="3" borderId="144" xfId="0" applyNumberFormat="1" applyFill="1" applyBorder="1" applyAlignment="1" applyProtection="1">
      <alignment/>
      <protection locked="0"/>
    </xf>
    <xf numFmtId="0" fontId="0" fillId="3" borderId="42" xfId="0" applyFill="1" applyBorder="1" applyAlignment="1" applyProtection="1">
      <alignment/>
      <protection locked="0"/>
    </xf>
    <xf numFmtId="0" fontId="0" fillId="3" borderId="41" xfId="0" applyFill="1" applyBorder="1" applyAlignment="1" applyProtection="1">
      <alignment/>
      <protection locked="0"/>
    </xf>
    <xf numFmtId="0" fontId="0" fillId="3" borderId="45" xfId="0" applyFill="1" applyBorder="1" applyAlignment="1" applyProtection="1">
      <alignment/>
      <protection locked="0"/>
    </xf>
    <xf numFmtId="175" fontId="0" fillId="3" borderId="1" xfId="15" applyNumberFormat="1" applyFont="1" applyFill="1" applyBorder="1" applyAlignment="1">
      <alignment/>
    </xf>
    <xf numFmtId="37" fontId="0" fillId="3" borderId="1" xfId="15" applyNumberFormat="1" applyFont="1" applyFill="1" applyBorder="1" applyAlignment="1" applyProtection="1">
      <alignment/>
      <protection/>
    </xf>
    <xf numFmtId="43" fontId="0" fillId="3" borderId="1" xfId="15" applyFont="1" applyFill="1" applyBorder="1" applyAlignment="1" applyProtection="1">
      <alignment/>
      <protection/>
    </xf>
    <xf numFmtId="43" fontId="0" fillId="3" borderId="0" xfId="15" applyFill="1" applyBorder="1" applyAlignment="1" applyProtection="1">
      <alignment/>
      <protection locked="0"/>
    </xf>
    <xf numFmtId="0" fontId="3" fillId="3" borderId="0" xfId="0" applyFont="1" applyFill="1" applyBorder="1" applyAlignment="1" applyProtection="1">
      <alignment horizontal="right"/>
      <protection/>
    </xf>
    <xf numFmtId="184" fontId="11" fillId="5" borderId="1" xfId="0" applyNumberFormat="1" applyFont="1" applyFill="1" applyBorder="1" applyAlignment="1" applyProtection="1">
      <alignment horizontal="center"/>
      <protection locked="0"/>
    </xf>
    <xf numFmtId="0" fontId="0" fillId="3" borderId="1" xfId="0" applyFill="1" applyBorder="1" applyAlignment="1" applyProtection="1">
      <alignment horizontal="center"/>
      <protection/>
    </xf>
    <xf numFmtId="1" fontId="11" fillId="5" borderId="1" xfId="0" applyNumberFormat="1" applyFont="1" applyFill="1" applyBorder="1" applyAlignment="1" applyProtection="1">
      <alignment horizontal="center"/>
      <protection locked="0"/>
    </xf>
    <xf numFmtId="186" fontId="3" fillId="3" borderId="1" xfId="0" applyNumberFormat="1" applyFont="1" applyFill="1" applyBorder="1" applyAlignment="1" applyProtection="1">
      <alignment horizontal="center"/>
      <protection/>
    </xf>
    <xf numFmtId="184" fontId="3" fillId="3" borderId="1" xfId="0" applyNumberFormat="1" applyFont="1" applyFill="1" applyBorder="1" applyAlignment="1" applyProtection="1">
      <alignment horizontal="center"/>
      <protection/>
    </xf>
    <xf numFmtId="183" fontId="3" fillId="3" borderId="1" xfId="0" applyNumberFormat="1" applyFont="1" applyFill="1" applyBorder="1" applyAlignment="1" applyProtection="1">
      <alignment horizontal="center"/>
      <protection/>
    </xf>
    <xf numFmtId="0" fontId="0" fillId="3" borderId="57" xfId="0" applyFill="1" applyBorder="1" applyAlignment="1" applyProtection="1">
      <alignment/>
      <protection/>
    </xf>
    <xf numFmtId="0" fontId="0" fillId="3" borderId="147" xfId="0" applyFill="1" applyBorder="1" applyAlignment="1" applyProtection="1">
      <alignment/>
      <protection/>
    </xf>
    <xf numFmtId="0" fontId="0" fillId="3" borderId="147" xfId="0" applyFont="1" applyFill="1" applyBorder="1" applyAlignment="1" applyProtection="1">
      <alignment horizontal="right"/>
      <protection/>
    </xf>
    <xf numFmtId="0" fontId="0" fillId="3" borderId="144" xfId="0" applyFill="1" applyBorder="1" applyAlignment="1" applyProtection="1">
      <alignment/>
      <protection/>
    </xf>
    <xf numFmtId="0" fontId="0" fillId="3" borderId="42" xfId="0" applyFill="1" applyBorder="1" applyAlignment="1" applyProtection="1">
      <alignment/>
      <protection/>
    </xf>
    <xf numFmtId="0" fontId="3" fillId="3" borderId="41" xfId="0" applyFont="1" applyFill="1" applyBorder="1" applyAlignment="1" applyProtection="1">
      <alignment horizontal="right"/>
      <protection/>
    </xf>
    <xf numFmtId="0" fontId="0" fillId="3" borderId="145" xfId="0" applyFill="1" applyBorder="1" applyAlignment="1" applyProtection="1">
      <alignment/>
      <protection/>
    </xf>
    <xf numFmtId="0" fontId="0" fillId="3" borderId="50" xfId="0" applyFill="1" applyBorder="1" applyAlignment="1" applyProtection="1">
      <alignment horizontal="right"/>
      <protection/>
    </xf>
    <xf numFmtId="2" fontId="0" fillId="3" borderId="42" xfId="0" applyNumberFormat="1" applyFill="1" applyBorder="1" applyAlignment="1" applyProtection="1">
      <alignment/>
      <protection/>
    </xf>
    <xf numFmtId="43" fontId="0" fillId="3" borderId="41" xfId="15" applyNumberFormat="1" applyFont="1" applyFill="1" applyBorder="1" applyAlignment="1" applyProtection="1">
      <alignment/>
      <protection/>
    </xf>
    <xf numFmtId="2" fontId="0" fillId="3" borderId="57" xfId="0" applyNumberFormat="1" applyFill="1" applyBorder="1" applyAlignment="1" applyProtection="1">
      <alignment/>
      <protection/>
    </xf>
    <xf numFmtId="43" fontId="0" fillId="3" borderId="147" xfId="15" applyNumberFormat="1" applyFont="1" applyFill="1" applyBorder="1" applyAlignment="1" applyProtection="1">
      <alignment/>
      <protection/>
    </xf>
    <xf numFmtId="0" fontId="10" fillId="3" borderId="150" xfId="0" applyFont="1" applyFill="1" applyBorder="1" applyAlignment="1" applyProtection="1">
      <alignment/>
      <protection/>
    </xf>
    <xf numFmtId="0" fontId="10" fillId="3" borderId="151" xfId="0" applyFont="1" applyFill="1" applyBorder="1" applyAlignment="1" applyProtection="1">
      <alignment/>
      <protection/>
    </xf>
    <xf numFmtId="0" fontId="7" fillId="6" borderId="57" xfId="0" applyFont="1" applyFill="1" applyBorder="1" applyAlignment="1" applyProtection="1">
      <alignment/>
      <protection/>
    </xf>
    <xf numFmtId="0" fontId="8" fillId="6" borderId="147" xfId="0" applyFont="1" applyFill="1" applyBorder="1" applyAlignment="1" applyProtection="1">
      <alignment/>
      <protection/>
    </xf>
    <xf numFmtId="0" fontId="8" fillId="6" borderId="148" xfId="0" applyFont="1" applyFill="1" applyBorder="1" applyAlignment="1" applyProtection="1">
      <alignment/>
      <protection/>
    </xf>
    <xf numFmtId="0" fontId="0" fillId="3" borderId="144"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149" xfId="0" applyFill="1" applyBorder="1" applyAlignment="1" applyProtection="1">
      <alignment horizontal="center"/>
      <protection locked="0"/>
    </xf>
    <xf numFmtId="0" fontId="0" fillId="3" borderId="152" xfId="0" applyFill="1" applyBorder="1" applyAlignment="1" applyProtection="1">
      <alignment/>
      <protection/>
    </xf>
    <xf numFmtId="0" fontId="50" fillId="5" borderId="153" xfId="0" applyFont="1" applyFill="1" applyBorder="1" applyAlignment="1" applyProtection="1">
      <alignment/>
      <protection/>
    </xf>
    <xf numFmtId="0" fontId="7" fillId="4" borderId="58" xfId="0" applyFont="1" applyFill="1" applyBorder="1" applyAlignment="1" applyProtection="1">
      <alignment horizontal="center"/>
      <protection/>
    </xf>
    <xf numFmtId="0" fontId="7" fillId="4" borderId="138" xfId="0" applyFont="1" applyFill="1" applyBorder="1" applyAlignment="1" applyProtection="1">
      <alignment horizontal="center"/>
      <protection/>
    </xf>
    <xf numFmtId="0" fontId="7" fillId="4" borderId="144" xfId="0" applyFont="1" applyFill="1" applyBorder="1" applyAlignment="1" applyProtection="1">
      <alignment horizontal="center"/>
      <protection/>
    </xf>
    <xf numFmtId="0" fontId="7" fillId="4" borderId="149" xfId="0" applyFont="1" applyFill="1" applyBorder="1" applyAlignment="1" applyProtection="1">
      <alignment horizontal="center"/>
      <protection/>
    </xf>
    <xf numFmtId="43" fontId="10" fillId="3" borderId="130" xfId="15" applyNumberFormat="1" applyFont="1" applyFill="1" applyBorder="1" applyAlignment="1" applyProtection="1">
      <alignment/>
      <protection/>
    </xf>
    <xf numFmtId="175" fontId="6" fillId="3" borderId="154" xfId="0" applyNumberFormat="1" applyFont="1" applyFill="1" applyBorder="1" applyAlignment="1" applyProtection="1">
      <alignment/>
      <protection/>
    </xf>
    <xf numFmtId="0" fontId="6" fillId="3" borderId="155" xfId="0" applyFont="1" applyFill="1" applyBorder="1" applyAlignment="1" applyProtection="1">
      <alignment/>
      <protection/>
    </xf>
    <xf numFmtId="175" fontId="6" fillId="3" borderId="156" xfId="0" applyNumberFormat="1" applyFont="1" applyFill="1" applyBorder="1" applyAlignment="1" applyProtection="1">
      <alignment/>
      <protection/>
    </xf>
    <xf numFmtId="0" fontId="10" fillId="3" borderId="79" xfId="0" applyFont="1" applyFill="1" applyBorder="1" applyAlignment="1" applyProtection="1">
      <alignment/>
      <protection/>
    </xf>
    <xf numFmtId="39" fontId="12" fillId="3" borderId="44" xfId="15" applyNumberFormat="1" applyFont="1" applyFill="1" applyBorder="1" applyAlignment="1" applyProtection="1">
      <alignment/>
      <protection/>
    </xf>
    <xf numFmtId="39" fontId="0" fillId="3" borderId="48" xfId="0" applyNumberFormat="1" applyFill="1" applyBorder="1" applyAlignment="1" applyProtection="1">
      <alignment/>
      <protection/>
    </xf>
    <xf numFmtId="187" fontId="0" fillId="3" borderId="0" xfId="15" applyNumberFormat="1" applyFill="1" applyBorder="1" applyAlignment="1" applyProtection="1">
      <alignment/>
      <protection/>
    </xf>
    <xf numFmtId="39" fontId="0" fillId="3" borderId="0" xfId="0" applyNumberFormat="1" applyFont="1" applyFill="1" applyBorder="1" applyAlignment="1" applyProtection="1">
      <alignment/>
      <protection/>
    </xf>
    <xf numFmtId="39" fontId="11" fillId="0" borderId="32" xfId="0" applyNumberFormat="1" applyFont="1" applyBorder="1" applyAlignment="1" applyProtection="1">
      <alignment/>
      <protection locked="0"/>
    </xf>
    <xf numFmtId="0" fontId="10" fillId="3" borderId="0" xfId="0" applyFont="1" applyFill="1" applyAlignment="1">
      <alignment vertical="center"/>
    </xf>
    <xf numFmtId="0" fontId="0" fillId="3" borderId="154" xfId="0" applyFill="1" applyBorder="1" applyAlignment="1" applyProtection="1">
      <alignment vertical="center"/>
      <protection locked="0"/>
    </xf>
    <xf numFmtId="0" fontId="0" fillId="3" borderId="157" xfId="0" applyFill="1" applyBorder="1" applyAlignment="1" applyProtection="1">
      <alignment/>
      <protection locked="0"/>
    </xf>
    <xf numFmtId="0" fontId="0" fillId="3" borderId="156" xfId="0" applyFill="1" applyBorder="1" applyAlignment="1" applyProtection="1">
      <alignment/>
      <protection locked="0"/>
    </xf>
    <xf numFmtId="0" fontId="0" fillId="3" borderId="155" xfId="0" applyFill="1" applyBorder="1" applyAlignment="1" applyProtection="1">
      <alignment/>
      <protection locked="0"/>
    </xf>
    <xf numFmtId="0" fontId="0" fillId="3" borderId="158" xfId="0" applyFill="1" applyBorder="1" applyAlignment="1" applyProtection="1">
      <alignment/>
      <protection locked="0"/>
    </xf>
    <xf numFmtId="0" fontId="0" fillId="3" borderId="79" xfId="0" applyFill="1" applyBorder="1" applyAlignment="1" applyProtection="1">
      <alignment/>
      <protection locked="0"/>
    </xf>
    <xf numFmtId="164" fontId="10" fillId="3" borderId="0" xfId="0" applyNumberFormat="1" applyFont="1" applyFill="1" applyAlignment="1">
      <alignment horizontal="right"/>
    </xf>
    <xf numFmtId="41" fontId="27" fillId="3" borderId="4" xfId="15" applyNumberFormat="1" applyFont="1" applyFill="1" applyBorder="1" applyAlignment="1" applyProtection="1">
      <alignment vertical="center"/>
      <protection locked="0"/>
    </xf>
    <xf numFmtId="0" fontId="47" fillId="4" borderId="159" xfId="0" applyFont="1" applyFill="1" applyBorder="1" applyAlignment="1">
      <alignment horizontal="center" vertical="center" wrapText="1"/>
    </xf>
    <xf numFmtId="0" fontId="17" fillId="4" borderId="0" xfId="0" applyFont="1" applyFill="1" applyAlignment="1">
      <alignment/>
    </xf>
    <xf numFmtId="0" fontId="0" fillId="3" borderId="0" xfId="0" applyFill="1" applyAlignment="1" applyProtection="1">
      <alignment vertical="center"/>
      <protection/>
    </xf>
    <xf numFmtId="0" fontId="6" fillId="3" borderId="0" xfId="0" applyFont="1" applyFill="1" applyBorder="1" applyAlignment="1" applyProtection="1">
      <alignment vertical="center"/>
      <protection/>
    </xf>
    <xf numFmtId="0" fontId="30" fillId="3" borderId="0" xfId="0" applyFont="1" applyFill="1" applyBorder="1" applyAlignment="1" applyProtection="1">
      <alignment vertical="center"/>
      <protection/>
    </xf>
    <xf numFmtId="0" fontId="34" fillId="6" borderId="9" xfId="0" applyFont="1" applyFill="1" applyBorder="1" applyAlignment="1">
      <alignment horizontal="left" vertical="center"/>
    </xf>
    <xf numFmtId="0" fontId="34" fillId="6" borderId="8" xfId="0" applyFont="1" applyFill="1" applyBorder="1" applyAlignment="1">
      <alignment horizontal="left" vertical="center"/>
    </xf>
    <xf numFmtId="0" fontId="34" fillId="6" borderId="73" xfId="0" applyFont="1" applyFill="1" applyBorder="1" applyAlignment="1">
      <alignment horizontal="left" vertical="center"/>
    </xf>
    <xf numFmtId="13" fontId="39" fillId="3" borderId="0" xfId="0" applyNumberFormat="1" applyFont="1" applyFill="1" applyAlignment="1">
      <alignment vertical="top" wrapText="1"/>
    </xf>
    <xf numFmtId="0" fontId="25" fillId="0" borderId="0" xfId="0" applyFont="1" applyAlignment="1">
      <alignment vertical="top" wrapText="1"/>
    </xf>
    <xf numFmtId="0" fontId="0" fillId="3" borderId="0" xfId="0" applyFill="1" applyBorder="1" applyAlignment="1" applyProtection="1">
      <alignment wrapText="1"/>
      <protection/>
    </xf>
    <xf numFmtId="0" fontId="0" fillId="0" borderId="0" xfId="0" applyBorder="1" applyAlignment="1">
      <alignment wrapText="1"/>
    </xf>
    <xf numFmtId="0" fontId="0" fillId="3" borderId="0" xfId="0" applyFill="1" applyBorder="1" applyAlignment="1" applyProtection="1">
      <alignment vertical="top" wrapText="1"/>
      <protection/>
    </xf>
    <xf numFmtId="0" fontId="0" fillId="0" borderId="0" xfId="0" applyBorder="1" applyAlignment="1">
      <alignment vertical="top" wrapText="1"/>
    </xf>
    <xf numFmtId="0" fontId="0" fillId="0" borderId="0" xfId="0" applyBorder="1" applyAlignment="1">
      <alignment/>
    </xf>
    <xf numFmtId="0" fontId="0" fillId="0" borderId="128" xfId="0" applyBorder="1" applyAlignment="1">
      <alignment/>
    </xf>
    <xf numFmtId="0" fontId="7" fillId="4" borderId="57" xfId="0" applyFont="1" applyFill="1" applyBorder="1" applyAlignment="1" applyProtection="1">
      <alignment horizontal="center"/>
      <protection/>
    </xf>
    <xf numFmtId="0" fontId="7" fillId="4" borderId="148" xfId="0" applyFont="1" applyFill="1" applyBorder="1" applyAlignment="1" applyProtection="1">
      <alignment horizontal="center"/>
      <protection/>
    </xf>
    <xf numFmtId="0" fontId="7" fillId="4" borderId="144" xfId="0" applyFont="1" applyFill="1" applyBorder="1" applyAlignment="1" applyProtection="1">
      <alignment horizontal="center"/>
      <protection/>
    </xf>
    <xf numFmtId="0" fontId="7" fillId="4" borderId="149" xfId="0" applyFont="1" applyFill="1" applyBorder="1" applyAlignment="1">
      <alignment/>
    </xf>
    <xf numFmtId="0" fontId="7" fillId="4" borderId="148" xfId="0" applyFont="1" applyFill="1" applyBorder="1" applyAlignment="1">
      <alignment/>
    </xf>
    <xf numFmtId="0" fontId="7" fillId="4" borderId="57" xfId="0" applyFont="1" applyFill="1" applyBorder="1" applyAlignment="1">
      <alignment horizontal="center"/>
    </xf>
    <xf numFmtId="0" fontId="7" fillId="4" borderId="148" xfId="0" applyFont="1" applyFill="1" applyBorder="1" applyAlignment="1">
      <alignment horizontal="center"/>
    </xf>
    <xf numFmtId="0" fontId="11" fillId="3" borderId="0" xfId="0" applyFont="1" applyFill="1" applyAlignment="1">
      <alignment/>
    </xf>
    <xf numFmtId="0" fontId="11" fillId="3" borderId="149" xfId="0" applyFont="1" applyFill="1" applyBorder="1" applyAlignment="1">
      <alignment/>
    </xf>
    <xf numFmtId="0" fontId="0" fillId="3" borderId="0" xfId="0" applyFill="1" applyAlignment="1">
      <alignment/>
    </xf>
    <xf numFmtId="0" fontId="0" fillId="3" borderId="149" xfId="0" applyFill="1" applyBorder="1" applyAlignment="1">
      <alignment/>
    </xf>
    <xf numFmtId="0" fontId="0" fillId="3" borderId="160" xfId="0" applyFill="1" applyBorder="1" applyAlignment="1">
      <alignment wrapText="1"/>
    </xf>
    <xf numFmtId="0" fontId="46" fillId="3" borderId="0" xfId="0" applyFont="1" applyFill="1" applyAlignment="1">
      <alignment wrapText="1"/>
    </xf>
    <xf numFmtId="0" fontId="0" fillId="0" borderId="0" xfId="0" applyAlignment="1">
      <alignment wrapText="1"/>
    </xf>
    <xf numFmtId="0" fontId="47" fillId="4" borderId="161" xfId="0" applyFont="1" applyFill="1" applyBorder="1" applyAlignment="1">
      <alignment horizontal="center" vertical="center" wrapText="1"/>
    </xf>
    <xf numFmtId="0" fontId="47" fillId="4" borderId="162" xfId="0" applyFont="1" applyFill="1" applyBorder="1" applyAlignment="1">
      <alignment horizontal="center" vertical="center" wrapText="1"/>
    </xf>
    <xf numFmtId="0" fontId="44" fillId="4" borderId="163" xfId="0" applyFont="1" applyFill="1" applyBorder="1" applyAlignment="1">
      <alignment horizontal="center" wrapText="1"/>
    </xf>
    <xf numFmtId="0" fontId="44" fillId="4" borderId="164" xfId="0" applyFont="1" applyFill="1" applyBorder="1" applyAlignment="1">
      <alignment horizontal="center" wrapText="1"/>
    </xf>
    <xf numFmtId="0" fontId="44" fillId="6" borderId="161" xfId="0" applyFont="1" applyFill="1" applyBorder="1" applyAlignment="1">
      <alignment horizontal="center" wrapText="1"/>
    </xf>
    <xf numFmtId="0" fontId="44" fillId="6" borderId="162" xfId="0" applyFont="1" applyFill="1" applyBorder="1" applyAlignment="1">
      <alignment horizontal="center" wrapText="1"/>
    </xf>
    <xf numFmtId="0" fontId="44" fillId="6" borderId="159" xfId="0" applyFont="1" applyFill="1" applyBorder="1" applyAlignment="1">
      <alignment horizontal="center" wrapText="1"/>
    </xf>
    <xf numFmtId="0" fontId="7" fillId="4" borderId="165" xfId="0" applyFont="1" applyFill="1" applyBorder="1" applyAlignment="1" applyProtection="1">
      <alignment vertical="center"/>
      <protection locked="0"/>
    </xf>
    <xf numFmtId="0" fontId="7" fillId="4" borderId="123" xfId="0" applyFont="1" applyFill="1" applyBorder="1" applyAlignment="1" applyProtection="1">
      <alignment vertical="center"/>
      <protection locked="0"/>
    </xf>
    <xf numFmtId="0" fontId="7" fillId="4" borderId="124" xfId="0" applyFont="1" applyFill="1" applyBorder="1" applyAlignment="1" applyProtection="1">
      <alignmen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4E4E4"/>
      <rgbColor rgb="00808080"/>
      <rgbColor rgb="009999FF"/>
      <rgbColor rgb="00993366"/>
      <rgbColor rgb="00FFFFCC"/>
      <rgbColor rgb="00CCFFFF"/>
      <rgbColor rgb="00660066"/>
      <rgbColor rgb="00FF8080"/>
      <rgbColor rgb="000066CC"/>
      <rgbColor rgb="00CCCCFF"/>
      <rgbColor rgb="00000080"/>
      <rgbColor rgb="00F9F6D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295"/>
          <c:w val="0.872"/>
          <c:h val="0.9705"/>
        </c:manualLayout>
      </c:layout>
      <c:scatterChart>
        <c:scatterStyle val="line"/>
        <c:varyColors val="0"/>
        <c:ser>
          <c:idx val="0"/>
          <c:order val="0"/>
          <c:tx>
            <c:v>box</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80"/>
                </a:solidFill>
              </a:ln>
            </c:spPr>
            <c:marker>
              <c:symbol val="none"/>
            </c:marker>
          </c:dPt>
          <c:xVal>
            <c:numRef>
              <c:f>c!$I$7:$I$20</c:f>
              <c:numCache>
                <c:ptCount val="14"/>
                <c:pt idx="0">
                  <c:v>0</c:v>
                </c:pt>
                <c:pt idx="1">
                  <c:v>0</c:v>
                </c:pt>
                <c:pt idx="2">
                  <c:v>10.74675</c:v>
                </c:pt>
                <c:pt idx="4">
                  <c:v>10.74675</c:v>
                </c:pt>
                <c:pt idx="5">
                  <c:v>10.74675</c:v>
                </c:pt>
                <c:pt idx="6">
                  <c:v>28.134749999999997</c:v>
                </c:pt>
                <c:pt idx="7">
                  <c:v>28.134749999999997</c:v>
                </c:pt>
                <c:pt idx="8">
                  <c:v>17.387999999999998</c:v>
                </c:pt>
                <c:pt idx="9">
                  <c:v>0</c:v>
                </c:pt>
                <c:pt idx="10">
                  <c:v>10.74675</c:v>
                </c:pt>
                <c:pt idx="11">
                  <c:v>28.134749999999997</c:v>
                </c:pt>
                <c:pt idx="13">
                  <c:v>52.551926624808715</c:v>
                </c:pt>
              </c:numCache>
            </c:numRef>
          </c:xVal>
          <c:yVal>
            <c:numRef>
              <c:f>c!$K$7:$K$20</c:f>
              <c:numCache>
                <c:ptCount val="14"/>
                <c:pt idx="0">
                  <c:v>47.889926624808716</c:v>
                </c:pt>
                <c:pt idx="1">
                  <c:v>2.8813750000000002</c:v>
                </c:pt>
                <c:pt idx="2">
                  <c:v>0</c:v>
                </c:pt>
                <c:pt idx="4">
                  <c:v>45.00855162480872</c:v>
                </c:pt>
                <c:pt idx="5">
                  <c:v>0</c:v>
                </c:pt>
                <c:pt idx="6">
                  <c:v>4.662</c:v>
                </c:pt>
                <c:pt idx="7">
                  <c:v>49.670551624808716</c:v>
                </c:pt>
                <c:pt idx="8">
                  <c:v>52.551926624808715</c:v>
                </c:pt>
                <c:pt idx="9">
                  <c:v>47.889926624808716</c:v>
                </c:pt>
                <c:pt idx="10">
                  <c:v>45.00855162480872</c:v>
                </c:pt>
                <c:pt idx="11">
                  <c:v>49.670551624808716</c:v>
                </c:pt>
                <c:pt idx="13">
                  <c:v>52.551926624808715</c:v>
                </c:pt>
              </c:numCache>
            </c:numRef>
          </c:yVal>
          <c:smooth val="0"/>
        </c:ser>
        <c:ser>
          <c:idx val="1"/>
          <c:order val="1"/>
          <c:tx>
            <c:v>circle1</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c!$I$23:$I$47</c:f>
              <c:numCache>
                <c:ptCount val="25"/>
                <c:pt idx="0">
                  <c:v>7.788374999999999</c:v>
                </c:pt>
                <c:pt idx="1">
                  <c:v>7.7060886130507</c:v>
                </c:pt>
                <c:pt idx="2">
                  <c:v>7.464836946593832</c:v>
                </c:pt>
                <c:pt idx="3">
                  <c:v>7.081060355062716</c:v>
                </c:pt>
                <c:pt idx="4">
                  <c:v>6.580911707287837</c:v>
                </c:pt>
                <c:pt idx="5">
                  <c:v>5.998474171106027</c:v>
                </c:pt>
                <c:pt idx="6">
                  <c:v>5.373438579209668</c:v>
                </c:pt>
                <c:pt idx="7">
                  <c:v>4.748398654639646</c:v>
                </c:pt>
                <c:pt idx="8">
                  <c:v>4.165948415691554</c:v>
                </c:pt>
                <c:pt idx="9">
                  <c:v>3.665779560701455</c:v>
                </c:pt>
                <c:pt idx="10">
                  <c:v>3.281976634548606</c:v>
                </c:pt>
                <c:pt idx="11">
                  <c:v>3.0406943006646316</c:v>
                </c:pt>
                <c:pt idx="12">
                  <c:v>2.9583750033476734</c:v>
                </c:pt>
                <c:pt idx="13">
                  <c:v>3.0406284797011844</c:v>
                </c:pt>
                <c:pt idx="14">
                  <c:v>3.281849478062099</c:v>
                </c:pt>
                <c:pt idx="15">
                  <c:v>3.665599733907501</c:v>
                </c:pt>
                <c:pt idx="16">
                  <c:v>4.165728173080547</c:v>
                </c:pt>
                <c:pt idx="17">
                  <c:v>4.748153004881327</c:v>
                </c:pt>
                <c:pt idx="18">
                  <c:v>5.373184262371171</c:v>
                </c:pt>
                <c:pt idx="19">
                  <c:v>5.998228517881996</c:v>
                </c:pt>
                <c:pt idx="20">
                  <c:v>6.580691457981584</c:v>
                </c:pt>
                <c:pt idx="21">
                  <c:v>7.080880518800235</c:v>
                </c:pt>
                <c:pt idx="22">
                  <c:v>7.464709778510761</c:v>
                </c:pt>
                <c:pt idx="23">
                  <c:v>7.706022779152911</c:v>
                </c:pt>
                <c:pt idx="24">
                  <c:v>7.788374986609305</c:v>
                </c:pt>
              </c:numCache>
            </c:numRef>
          </c:xVal>
          <c:yVal>
            <c:numRef>
              <c:f>c!$K$23:$K$47</c:f>
              <c:numCache>
                <c:ptCount val="25"/>
                <c:pt idx="0">
                  <c:v>37.2286816724642</c:v>
                </c:pt>
                <c:pt idx="1">
                  <c:v>37.944129654714935</c:v>
                </c:pt>
                <c:pt idx="2">
                  <c:v>38.65494724859308</c:v>
                </c:pt>
                <c:pt idx="3">
                  <c:v>39.31269502421852</c:v>
                </c:pt>
                <c:pt idx="4">
                  <c:v>39.872550051586984</c:v>
                </c:pt>
                <c:pt idx="5">
                  <c:v>40.296360407371324</c:v>
                </c:pt>
                <c:pt idx="6">
                  <c:v>40.55524507879373</c:v>
                </c:pt>
                <c:pt idx="7">
                  <c:v>40.63156209132177</c:v>
                </c:pt>
                <c:pt idx="8">
                  <c:v>40.52011074000829</c:v>
                </c:pt>
                <c:pt idx="9">
                  <c:v>40.22848599712675</c:v>
                </c:pt>
                <c:pt idx="10">
                  <c:v>39.77656094461233</c:v>
                </c:pt>
                <c:pt idx="11">
                  <c:v>39.19513250150711</c:v>
                </c:pt>
                <c:pt idx="12">
                  <c:v>38.5238227347698</c:v>
                </c:pt>
                <c:pt idx="13">
                  <c:v>37.80837877088374</c:v>
                </c:pt>
                <c:pt idx="14">
                  <c:v>37.097555308691874</c:v>
                </c:pt>
                <c:pt idx="15">
                  <c:v>36.43979217797685</c:v>
                </c:pt>
                <c:pt idx="16">
                  <c:v>35.87991335513203</c:v>
                </c:pt>
                <c:pt idx="17">
                  <c:v>35.45607238505297</c:v>
                </c:pt>
                <c:pt idx="18">
                  <c:v>35.197152366761486</c:v>
                </c:pt>
                <c:pt idx="19">
                  <c:v>35.12079768354045</c:v>
                </c:pt>
                <c:pt idx="20">
                  <c:v>35.23221160744695</c:v>
                </c:pt>
                <c:pt idx="21">
                  <c:v>35.523801716738426</c:v>
                </c:pt>
                <c:pt idx="22">
                  <c:v>35.97569728962297</c:v>
                </c:pt>
                <c:pt idx="23">
                  <c:v>36.557103415979626</c:v>
                </c:pt>
                <c:pt idx="24">
                  <c:v>37.22839954964849</c:v>
                </c:pt>
              </c:numCache>
            </c:numRef>
          </c:yVal>
          <c:smooth val="0"/>
        </c:ser>
        <c:ser>
          <c:idx val="2"/>
          <c:order val="2"/>
          <c:tx>
            <c:v>circle2</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c!$I$49:$I$73</c:f>
              <c:numCache>
                <c:ptCount val="25"/>
                <c:pt idx="0">
                  <c:v>8.271374999999999</c:v>
                </c:pt>
                <c:pt idx="1">
                  <c:v>8.205545890440561</c:v>
                </c:pt>
                <c:pt idx="2">
                  <c:v>8.012544557275067</c:v>
                </c:pt>
                <c:pt idx="3">
                  <c:v>7.705523284050172</c:v>
                </c:pt>
                <c:pt idx="4">
                  <c:v>7.30540436583027</c:v>
                </c:pt>
                <c:pt idx="5">
                  <c:v>6.839454336884821</c:v>
                </c:pt>
                <c:pt idx="6">
                  <c:v>6.339425863367734</c:v>
                </c:pt>
                <c:pt idx="7">
                  <c:v>5.839393923711716</c:v>
                </c:pt>
                <c:pt idx="8">
                  <c:v>5.373433732553243</c:v>
                </c:pt>
                <c:pt idx="9">
                  <c:v>4.9732986485611645</c:v>
                </c:pt>
                <c:pt idx="10">
                  <c:v>4.666256307638885</c:v>
                </c:pt>
                <c:pt idx="11">
                  <c:v>4.4732304405317045</c:v>
                </c:pt>
                <c:pt idx="12">
                  <c:v>4.4073750026781395</c:v>
                </c:pt>
                <c:pt idx="13">
                  <c:v>4.473177783760947</c:v>
                </c:pt>
                <c:pt idx="14">
                  <c:v>4.666154582449679</c:v>
                </c:pt>
                <c:pt idx="15">
                  <c:v>4.973154787126</c:v>
                </c:pt>
                <c:pt idx="16">
                  <c:v>5.373257538464437</c:v>
                </c:pt>
                <c:pt idx="17">
                  <c:v>5.839197403905062</c:v>
                </c:pt>
                <c:pt idx="18">
                  <c:v>6.339222409896936</c:v>
                </c:pt>
                <c:pt idx="19">
                  <c:v>6.839257814305597</c:v>
                </c:pt>
                <c:pt idx="20">
                  <c:v>7.305228166385267</c:v>
                </c:pt>
                <c:pt idx="21">
                  <c:v>7.705379415040188</c:v>
                </c:pt>
                <c:pt idx="22">
                  <c:v>8.012442822808609</c:v>
                </c:pt>
                <c:pt idx="23">
                  <c:v>8.205493223322328</c:v>
                </c:pt>
                <c:pt idx="24">
                  <c:v>8.271374989287445</c:v>
                </c:pt>
              </c:numCache>
            </c:numRef>
          </c:xVal>
          <c:yVal>
            <c:numRef>
              <c:f>c!$K$49:$K$73</c:f>
              <c:numCache>
                <c:ptCount val="25"/>
                <c:pt idx="0">
                  <c:v>42.45734258017952</c:v>
                </c:pt>
                <c:pt idx="1">
                  <c:v>43.029700965980105</c:v>
                </c:pt>
                <c:pt idx="2">
                  <c:v>43.59835504108263</c:v>
                </c:pt>
                <c:pt idx="3">
                  <c:v>44.12455326158299</c:v>
                </c:pt>
                <c:pt idx="4">
                  <c:v>44.57243728347776</c:v>
                </c:pt>
                <c:pt idx="5">
                  <c:v>44.91148556810523</c:v>
                </c:pt>
                <c:pt idx="6">
                  <c:v>45.11859330524315</c:v>
                </c:pt>
                <c:pt idx="7">
                  <c:v>45.179646915265586</c:v>
                </c:pt>
                <c:pt idx="8">
                  <c:v>45.090485834214796</c:v>
                </c:pt>
                <c:pt idx="9">
                  <c:v>44.857186039909564</c:v>
                </c:pt>
                <c:pt idx="10">
                  <c:v>44.49564599789804</c:v>
                </c:pt>
                <c:pt idx="11">
                  <c:v>44.030503243413854</c:v>
                </c:pt>
                <c:pt idx="12">
                  <c:v>43.493455430024014</c:v>
                </c:pt>
                <c:pt idx="13">
                  <c:v>42.92110025891515</c:v>
                </c:pt>
                <c:pt idx="14">
                  <c:v>42.35244148916165</c:v>
                </c:pt>
                <c:pt idx="15">
                  <c:v>41.826230984589635</c:v>
                </c:pt>
                <c:pt idx="16">
                  <c:v>41.378327926313794</c:v>
                </c:pt>
                <c:pt idx="17">
                  <c:v>41.03925515025054</c:v>
                </c:pt>
                <c:pt idx="18">
                  <c:v>40.832119135617354</c:v>
                </c:pt>
                <c:pt idx="19">
                  <c:v>40.77103538904053</c:v>
                </c:pt>
                <c:pt idx="20">
                  <c:v>40.86016652816571</c:v>
                </c:pt>
                <c:pt idx="21">
                  <c:v>41.093438615598906</c:v>
                </c:pt>
                <c:pt idx="22">
                  <c:v>41.45495507390654</c:v>
                </c:pt>
                <c:pt idx="23">
                  <c:v>41.920079974991864</c:v>
                </c:pt>
                <c:pt idx="24">
                  <c:v>42.45711688192696</c:v>
                </c:pt>
              </c:numCache>
            </c:numRef>
          </c:yVal>
          <c:smooth val="0"/>
        </c:ser>
        <c:ser>
          <c:idx val="3"/>
          <c:order val="3"/>
          <c:tx>
            <c:v>Panels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c!$I$75:$I$87</c:f>
              <c:numCache>
                <c:ptCount val="13"/>
                <c:pt idx="0">
                  <c:v>0.7244999999999999</c:v>
                </c:pt>
                <c:pt idx="1">
                  <c:v>11.471250000000001</c:v>
                </c:pt>
                <c:pt idx="2">
                  <c:v>11.471250000000001</c:v>
                </c:pt>
                <c:pt idx="4">
                  <c:v>1.4489999999999998</c:v>
                </c:pt>
                <c:pt idx="5">
                  <c:v>17.387999999999998</c:v>
                </c:pt>
                <c:pt idx="7">
                  <c:v>10.746749999999999</c:v>
                </c:pt>
                <c:pt idx="8">
                  <c:v>26.68575</c:v>
                </c:pt>
                <c:pt idx="10">
                  <c:v>16.6635</c:v>
                </c:pt>
                <c:pt idx="11">
                  <c:v>27.410249999999998</c:v>
                </c:pt>
                <c:pt idx="12">
                  <c:v>27.410249999999998</c:v>
                </c:pt>
              </c:numCache>
            </c:numRef>
          </c:xVal>
          <c:yVal>
            <c:numRef>
              <c:f>c!$K$75:$K$87</c:f>
              <c:numCache>
                <c:ptCount val="13"/>
                <c:pt idx="0">
                  <c:v>48.08417662480871</c:v>
                </c:pt>
                <c:pt idx="1">
                  <c:v>45.202801624808714</c:v>
                </c:pt>
                <c:pt idx="2">
                  <c:v>0.1942499999999998</c:v>
                </c:pt>
                <c:pt idx="4">
                  <c:v>47.889926624808716</c:v>
                </c:pt>
                <c:pt idx="5">
                  <c:v>52.163426624808714</c:v>
                </c:pt>
                <c:pt idx="7">
                  <c:v>45.39705162480872</c:v>
                </c:pt>
                <c:pt idx="8">
                  <c:v>49.670551624808716</c:v>
                </c:pt>
                <c:pt idx="10">
                  <c:v>52.35767662480872</c:v>
                </c:pt>
                <c:pt idx="11">
                  <c:v>49.47630162480872</c:v>
                </c:pt>
                <c:pt idx="12">
                  <c:v>4.4677500000000006</c:v>
                </c:pt>
              </c:numCache>
            </c:numRef>
          </c:yVal>
          <c:smooth val="0"/>
        </c:ser>
        <c:ser>
          <c:idx val="4"/>
          <c:order val="4"/>
          <c:tx>
            <c:v>circle3</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c!$I$89:$I$113</c:f>
              <c:numCache>
                <c:ptCount val="25"/>
                <c:pt idx="0">
                  <c:v>10.203375</c:v>
                </c:pt>
                <c:pt idx="1">
                  <c:v>10.0388022261014</c:v>
                </c:pt>
                <c:pt idx="2">
                  <c:v>9.556298893187664</c:v>
                </c:pt>
                <c:pt idx="3">
                  <c:v>8.788745710125431</c:v>
                </c:pt>
                <c:pt idx="4">
                  <c:v>7.788448414575673</c:v>
                </c:pt>
                <c:pt idx="5">
                  <c:v>6.623573342212053</c:v>
                </c:pt>
                <c:pt idx="6">
                  <c:v>5.373502158419336</c:v>
                </c:pt>
                <c:pt idx="7">
                  <c:v>4.123422309279292</c:v>
                </c:pt>
                <c:pt idx="8">
                  <c:v>2.9585218313831083</c:v>
                </c:pt>
                <c:pt idx="9">
                  <c:v>1.958184121402911</c:v>
                </c:pt>
                <c:pt idx="10">
                  <c:v>1.1905782690972118</c:v>
                </c:pt>
                <c:pt idx="11">
                  <c:v>0.708013601329263</c:v>
                </c:pt>
                <c:pt idx="12">
                  <c:v>0.5433750066953474</c:v>
                </c:pt>
                <c:pt idx="13">
                  <c:v>0.7078819594023688</c:v>
                </c:pt>
                <c:pt idx="14">
                  <c:v>1.190323956124198</c:v>
                </c:pt>
                <c:pt idx="15">
                  <c:v>1.957824467815001</c:v>
                </c:pt>
                <c:pt idx="16">
                  <c:v>2.9580813461610935</c:v>
                </c:pt>
                <c:pt idx="17">
                  <c:v>4.122931009762653</c:v>
                </c:pt>
                <c:pt idx="18">
                  <c:v>5.372993524742342</c:v>
                </c:pt>
                <c:pt idx="19">
                  <c:v>6.623082035763993</c:v>
                </c:pt>
                <c:pt idx="20">
                  <c:v>7.788007915963168</c:v>
                </c:pt>
                <c:pt idx="21">
                  <c:v>8.78838603760047</c:v>
                </c:pt>
                <c:pt idx="22">
                  <c:v>9.55604455702152</c:v>
                </c:pt>
                <c:pt idx="23">
                  <c:v>10.038670558305823</c:v>
                </c:pt>
                <c:pt idx="24">
                  <c:v>10.20337497321861</c:v>
                </c:pt>
              </c:numCache>
            </c:numRef>
          </c:xVal>
          <c:yVal>
            <c:numRef>
              <c:f>c!$K$89:$K$113</c:f>
              <c:numCache>
                <c:ptCount val="25"/>
                <c:pt idx="0">
                  <c:v>19.43506676777516</c:v>
                </c:pt>
                <c:pt idx="1">
                  <c:v>20.865962732276635</c:v>
                </c:pt>
                <c:pt idx="2">
                  <c:v>22.287597920032923</c:v>
                </c:pt>
                <c:pt idx="3">
                  <c:v>23.603093471283806</c:v>
                </c:pt>
                <c:pt idx="4">
                  <c:v>24.722803526020755</c:v>
                </c:pt>
                <c:pt idx="5">
                  <c:v>25.57042423758942</c:v>
                </c:pt>
                <c:pt idx="6">
                  <c:v>26.08819358043423</c:v>
                </c:pt>
                <c:pt idx="7">
                  <c:v>26.24082760549031</c:v>
                </c:pt>
                <c:pt idx="8">
                  <c:v>26.017924902863356</c:v>
                </c:pt>
                <c:pt idx="9">
                  <c:v>25.434675417100273</c:v>
                </c:pt>
                <c:pt idx="10">
                  <c:v>24.530825312071443</c:v>
                </c:pt>
                <c:pt idx="11">
                  <c:v>23.367968425860987</c:v>
                </c:pt>
                <c:pt idx="12">
                  <c:v>22.025348892386383</c:v>
                </c:pt>
                <c:pt idx="13">
                  <c:v>20.594460964614257</c:v>
                </c:pt>
                <c:pt idx="14">
                  <c:v>19.172814040230506</c:v>
                </c:pt>
                <c:pt idx="15">
                  <c:v>17.857287778800455</c:v>
                </c:pt>
                <c:pt idx="16">
                  <c:v>16.737530133110848</c:v>
                </c:pt>
                <c:pt idx="17">
                  <c:v>15.889848192952707</c:v>
                </c:pt>
                <c:pt idx="18">
                  <c:v>15.37200815636975</c:v>
                </c:pt>
                <c:pt idx="19">
                  <c:v>15.219298789927683</c:v>
                </c:pt>
                <c:pt idx="20">
                  <c:v>15.442126637740662</c:v>
                </c:pt>
                <c:pt idx="21">
                  <c:v>16.025306856323624</c:v>
                </c:pt>
                <c:pt idx="22">
                  <c:v>16.929098002092715</c:v>
                </c:pt>
                <c:pt idx="23">
                  <c:v>18.091910254806024</c:v>
                </c:pt>
                <c:pt idx="24">
                  <c:v>19.43450252214376</c:v>
                </c:pt>
              </c:numCache>
            </c:numRef>
          </c:yVal>
          <c:smooth val="0"/>
        </c:ser>
        <c:ser>
          <c:idx val="5"/>
          <c:order val="5"/>
          <c:tx>
            <c:v>circle4</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c!$I$115:$I$139</c:f>
              <c:numCache>
                <c:ptCount val="25"/>
                <c:pt idx="0">
                  <c:v>19.44075</c:v>
                </c:pt>
                <c:pt idx="1">
                  <c:v>19.44075</c:v>
                </c:pt>
                <c:pt idx="2">
                  <c:v>19.44075</c:v>
                </c:pt>
                <c:pt idx="3">
                  <c:v>19.44075</c:v>
                </c:pt>
                <c:pt idx="4">
                  <c:v>19.44075</c:v>
                </c:pt>
                <c:pt idx="5">
                  <c:v>19.44075</c:v>
                </c:pt>
                <c:pt idx="6">
                  <c:v>19.44075</c:v>
                </c:pt>
                <c:pt idx="7">
                  <c:v>19.44075</c:v>
                </c:pt>
                <c:pt idx="8">
                  <c:v>19.44075</c:v>
                </c:pt>
                <c:pt idx="9">
                  <c:v>19.44075</c:v>
                </c:pt>
                <c:pt idx="10">
                  <c:v>19.44075</c:v>
                </c:pt>
                <c:pt idx="11">
                  <c:v>19.44075</c:v>
                </c:pt>
                <c:pt idx="12">
                  <c:v>19.44075</c:v>
                </c:pt>
                <c:pt idx="13">
                  <c:v>19.44075</c:v>
                </c:pt>
                <c:pt idx="14">
                  <c:v>19.44075</c:v>
                </c:pt>
                <c:pt idx="15">
                  <c:v>19.44075</c:v>
                </c:pt>
                <c:pt idx="16">
                  <c:v>19.44075</c:v>
                </c:pt>
                <c:pt idx="17">
                  <c:v>19.44075</c:v>
                </c:pt>
                <c:pt idx="18">
                  <c:v>19.44075</c:v>
                </c:pt>
                <c:pt idx="19">
                  <c:v>19.44075</c:v>
                </c:pt>
                <c:pt idx="20">
                  <c:v>19.44075</c:v>
                </c:pt>
                <c:pt idx="21">
                  <c:v>19.44075</c:v>
                </c:pt>
                <c:pt idx="22">
                  <c:v>19.44075</c:v>
                </c:pt>
                <c:pt idx="23">
                  <c:v>19.44075</c:v>
                </c:pt>
                <c:pt idx="24">
                  <c:v>19.44075</c:v>
                </c:pt>
              </c:numCache>
            </c:numRef>
          </c:xVal>
          <c:yVal>
            <c:numRef>
              <c:f>c!$K$115:$K$139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16016795"/>
        <c:axId val="9933428"/>
      </c:scatterChart>
      <c:valAx>
        <c:axId val="16016795"/>
        <c:scaling>
          <c:orientation val="minMax"/>
        </c:scaling>
        <c:axPos val="b"/>
        <c:delete val="0"/>
        <c:numFmt formatCode="General" sourceLinked="1"/>
        <c:majorTickMark val="out"/>
        <c:minorTickMark val="none"/>
        <c:tickLblPos val="nextTo"/>
        <c:spPr>
          <a:ln w="3175">
            <a:noFill/>
          </a:ln>
        </c:spPr>
        <c:txPr>
          <a:bodyPr/>
          <a:lstStyle/>
          <a:p>
            <a:pPr>
              <a:defRPr lang="en-US" cap="none" sz="800" b="0" i="0" u="none" baseline="0">
                <a:solidFill>
                  <a:srgbClr val="FFFFFF"/>
                </a:solidFill>
                <a:latin typeface="Arial"/>
                <a:ea typeface="Arial"/>
                <a:cs typeface="Arial"/>
              </a:defRPr>
            </a:pPr>
          </a:p>
        </c:txPr>
        <c:crossAx val="9933428"/>
        <c:crosses val="autoZero"/>
        <c:crossBetween val="midCat"/>
        <c:dispUnits/>
      </c:valAx>
      <c:valAx>
        <c:axId val="993342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noFill/>
          </a:ln>
        </c:spPr>
        <c:txPr>
          <a:bodyPr/>
          <a:lstStyle/>
          <a:p>
            <a:pPr>
              <a:defRPr lang="en-US" cap="none" sz="800" b="0" i="0" u="none" baseline="0">
                <a:solidFill>
                  <a:srgbClr val="FFFFFF"/>
                </a:solidFill>
                <a:latin typeface="Arial"/>
                <a:ea typeface="Arial"/>
                <a:cs typeface="Arial"/>
              </a:defRPr>
            </a:pPr>
          </a:p>
        </c:txPr>
        <c:crossAx val="16016795"/>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4825"/>
          <c:h val="1"/>
        </c:manualLayout>
      </c:layout>
      <c:scatterChart>
        <c:scatterStyle val="line"/>
        <c:varyColors val="0"/>
        <c:ser>
          <c:idx val="0"/>
          <c:order val="0"/>
          <c:tx>
            <c:v>Front view</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c!$M$7:$M$14</c:f>
              <c:numCache>
                <c:ptCount val="8"/>
                <c:pt idx="0">
                  <c:v>0</c:v>
                </c:pt>
                <c:pt idx="1">
                  <c:v>11.125</c:v>
                </c:pt>
                <c:pt idx="2">
                  <c:v>11.125</c:v>
                </c:pt>
                <c:pt idx="3">
                  <c:v>0</c:v>
                </c:pt>
                <c:pt idx="4">
                  <c:v>0</c:v>
                </c:pt>
                <c:pt idx="6">
                  <c:v>42</c:v>
                </c:pt>
              </c:numCache>
            </c:numRef>
          </c:xVal>
          <c:yVal>
            <c:numRef>
              <c:f>c!$N$7:$N$14</c:f>
              <c:numCache>
                <c:ptCount val="8"/>
                <c:pt idx="0">
                  <c:v>0</c:v>
                </c:pt>
                <c:pt idx="1">
                  <c:v>0</c:v>
                </c:pt>
                <c:pt idx="2">
                  <c:v>42</c:v>
                </c:pt>
                <c:pt idx="3">
                  <c:v>42</c:v>
                </c:pt>
                <c:pt idx="4">
                  <c:v>0</c:v>
                </c:pt>
                <c:pt idx="6">
                  <c:v>42</c:v>
                </c:pt>
              </c:numCache>
            </c:numRef>
          </c:yVal>
          <c:smooth val="0"/>
        </c:ser>
        <c:ser>
          <c:idx val="1"/>
          <c:order val="1"/>
          <c:tx>
            <c:v>circle1</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xVal>
            <c:numRef>
              <c:f>c!$F$23:$F$47</c:f>
              <c:numCache>
                <c:ptCount val="25"/>
                <c:pt idx="0">
                  <c:v>8.0625</c:v>
                </c:pt>
                <c:pt idx="1">
                  <c:v>7.977317404814389</c:v>
                </c:pt>
                <c:pt idx="2">
                  <c:v>7.727574478875603</c:v>
                </c:pt>
                <c:pt idx="3">
                  <c:v>7.330290222632211</c:v>
                </c:pt>
                <c:pt idx="4">
                  <c:v>6.812537999262771</c:v>
                </c:pt>
                <c:pt idx="5">
                  <c:v>6.209600591207067</c:v>
                </c:pt>
                <c:pt idx="6">
                  <c:v>5.562565816987234</c:v>
                </c:pt>
                <c:pt idx="7">
                  <c:v>4.915526557597977</c:v>
                </c:pt>
                <c:pt idx="8">
                  <c:v>4.312575999680698</c:v>
                </c:pt>
                <c:pt idx="9">
                  <c:v>3.7948028578690014</c:v>
                </c:pt>
                <c:pt idx="10">
                  <c:v>3.3974913401124285</c:v>
                </c:pt>
                <c:pt idx="11">
                  <c:v>3.147716667354691</c:v>
                </c:pt>
                <c:pt idx="12">
                  <c:v>3.0625000034655008</c:v>
                </c:pt>
                <c:pt idx="13">
                  <c:v>3.147648529711371</c:v>
                </c:pt>
                <c:pt idx="14">
                  <c:v>3.397359708138819</c:v>
                </c:pt>
                <c:pt idx="15">
                  <c:v>3.794616701767599</c:v>
                </c:pt>
                <c:pt idx="16">
                  <c:v>4.3123480052593655</c:v>
                </c:pt>
                <c:pt idx="17">
                  <c:v>4.915272261781912</c:v>
                </c:pt>
                <c:pt idx="18">
                  <c:v>5.562302549038479</c:v>
                </c:pt>
                <c:pt idx="19">
                  <c:v>6.209346291803309</c:v>
                </c:pt>
                <c:pt idx="20">
                  <c:v>6.812309997910543</c:v>
                </c:pt>
                <c:pt idx="21">
                  <c:v>7.330104056729022</c:v>
                </c:pt>
                <c:pt idx="22">
                  <c:v>7.727442834897268</c:v>
                </c:pt>
                <c:pt idx="23">
                  <c:v>7.977249253781482</c:v>
                </c:pt>
                <c:pt idx="24">
                  <c:v>8.062499986137997</c:v>
                </c:pt>
              </c:numCache>
            </c:numRef>
          </c:xVal>
          <c:yVal>
            <c:numRef>
              <c:f>c!$H$23:$H$47</c:f>
              <c:numCache>
                <c:ptCount val="25"/>
                <c:pt idx="0">
                  <c:v>34</c:v>
                </c:pt>
                <c:pt idx="1">
                  <c:v>34.64703701702877</c:v>
                </c:pt>
                <c:pt idx="2">
                  <c:v>35.24998100022422</c:v>
                </c:pt>
                <c:pt idx="3">
                  <c:v>35.767743682994215</c:v>
                </c:pt>
                <c:pt idx="4">
                  <c:v>36.16504157013188</c:v>
                </c:pt>
                <c:pt idx="5">
                  <c:v>36.4148003695667</c:v>
                </c:pt>
                <c:pt idx="6">
                  <c:v>36.49999999913363</c:v>
                </c:pt>
                <c:pt idx="7">
                  <c:v>36.41483443838837</c:v>
                </c:pt>
                <c:pt idx="8">
                  <c:v>36.16510738611871</c:v>
                </c:pt>
                <c:pt idx="9">
                  <c:v>35.76783676104495</c:v>
                </c:pt>
                <c:pt idx="10">
                  <c:v>35.25009499743492</c:v>
                </c:pt>
                <c:pt idx="11">
                  <c:v>34.647164164936854</c:v>
                </c:pt>
                <c:pt idx="12">
                  <c:v>34.00013163397442</c:v>
                </c:pt>
                <c:pt idx="13">
                  <c:v>33.353090132673145</c:v>
                </c:pt>
                <c:pt idx="14">
                  <c:v>32.75013300045194</c:v>
                </c:pt>
                <c:pt idx="15">
                  <c:v>32.232349399957414</c:v>
                </c:pt>
                <c:pt idx="16">
                  <c:v>31.835024251857305</c:v>
                </c:pt>
                <c:pt idx="17">
                  <c:v>31.58523370594977</c:v>
                </c:pt>
                <c:pt idx="18">
                  <c:v>31.500000007797375</c:v>
                </c:pt>
                <c:pt idx="19">
                  <c:v>31.585131499484845</c:v>
                </c:pt>
                <c:pt idx="20">
                  <c:v>31.83482680389701</c:v>
                </c:pt>
                <c:pt idx="21">
                  <c:v>32.23207016580547</c:v>
                </c:pt>
                <c:pt idx="22">
                  <c:v>32.74979100882013</c:v>
                </c:pt>
                <c:pt idx="23">
                  <c:v>33.35270868894927</c:v>
                </c:pt>
                <c:pt idx="24">
                  <c:v>33.999736732051524</c:v>
                </c:pt>
              </c:numCache>
            </c:numRef>
          </c:yVal>
          <c:smooth val="1"/>
        </c:ser>
        <c:ser>
          <c:idx val="2"/>
          <c:order val="2"/>
          <c:tx>
            <c:v>Side view</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c!$O$7:$O$11</c:f>
              <c:numCache>
                <c:ptCount val="5"/>
                <c:pt idx="0">
                  <c:v>17.125</c:v>
                </c:pt>
                <c:pt idx="1">
                  <c:v>35.125</c:v>
                </c:pt>
                <c:pt idx="2">
                  <c:v>35.125</c:v>
                </c:pt>
                <c:pt idx="3">
                  <c:v>17.125</c:v>
                </c:pt>
                <c:pt idx="4">
                  <c:v>17.125</c:v>
                </c:pt>
              </c:numCache>
            </c:numRef>
          </c:xVal>
          <c:yVal>
            <c:numRef>
              <c:f>c!$P$7:$P$11</c:f>
              <c:numCache>
                <c:ptCount val="5"/>
                <c:pt idx="0">
                  <c:v>0</c:v>
                </c:pt>
                <c:pt idx="1">
                  <c:v>0</c:v>
                </c:pt>
                <c:pt idx="2">
                  <c:v>42</c:v>
                </c:pt>
                <c:pt idx="3">
                  <c:v>42</c:v>
                </c:pt>
                <c:pt idx="4">
                  <c:v>0</c:v>
                </c:pt>
              </c:numCache>
            </c:numRef>
          </c:yVal>
          <c:smooth val="0"/>
        </c:ser>
        <c:ser>
          <c:idx val="3"/>
          <c:order val="3"/>
          <c:tx>
            <c:v>circle2</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c!$F$49:$F$73</c:f>
              <c:numCache>
                <c:ptCount val="25"/>
                <c:pt idx="0">
                  <c:v>8.5625</c:v>
                </c:pt>
                <c:pt idx="1">
                  <c:v>8.494353923851513</c:v>
                </c:pt>
                <c:pt idx="2">
                  <c:v>8.294559583100483</c:v>
                </c:pt>
                <c:pt idx="3">
                  <c:v>7.9767321781057685</c:v>
                </c:pt>
                <c:pt idx="4">
                  <c:v>7.5625303994102175</c:v>
                </c:pt>
                <c:pt idx="5">
                  <c:v>7.080180472965654</c:v>
                </c:pt>
                <c:pt idx="6">
                  <c:v>6.562552653589787</c:v>
                </c:pt>
                <c:pt idx="7">
                  <c:v>6.044921246078381</c:v>
                </c:pt>
                <c:pt idx="8">
                  <c:v>5.562560799744558</c:v>
                </c:pt>
                <c:pt idx="9">
                  <c:v>5.148342286295201</c:v>
                </c:pt>
                <c:pt idx="10">
                  <c:v>4.830493072089943</c:v>
                </c:pt>
                <c:pt idx="11">
                  <c:v>4.6306733338837525</c:v>
                </c:pt>
                <c:pt idx="12">
                  <c:v>4.562500002772401</c:v>
                </c:pt>
                <c:pt idx="13">
                  <c:v>4.630618823769097</c:v>
                </c:pt>
                <c:pt idx="14">
                  <c:v>4.8303877665110555</c:v>
                </c:pt>
                <c:pt idx="15">
                  <c:v>5.148193361414079</c:v>
                </c:pt>
                <c:pt idx="16">
                  <c:v>5.562378404207492</c:v>
                </c:pt>
                <c:pt idx="17">
                  <c:v>6.04471780942553</c:v>
                </c:pt>
                <c:pt idx="18">
                  <c:v>6.562342039230783</c:v>
                </c:pt>
                <c:pt idx="19">
                  <c:v>7.079977033442647</c:v>
                </c:pt>
                <c:pt idx="20">
                  <c:v>7.562347998328434</c:v>
                </c:pt>
                <c:pt idx="21">
                  <c:v>7.9765832453832175</c:v>
                </c:pt>
                <c:pt idx="22">
                  <c:v>8.294454267917814</c:v>
                </c:pt>
                <c:pt idx="23">
                  <c:v>8.494299403025185</c:v>
                </c:pt>
                <c:pt idx="24">
                  <c:v>8.562499988910398</c:v>
                </c:pt>
              </c:numCache>
            </c:numRef>
          </c:xVal>
          <c:yVal>
            <c:numRef>
              <c:f>c!$H$49:$H$73</c:f>
              <c:numCache>
                <c:ptCount val="25"/>
                <c:pt idx="0">
                  <c:v>39</c:v>
                </c:pt>
                <c:pt idx="1">
                  <c:v>39.51762961362302</c:v>
                </c:pt>
                <c:pt idx="2">
                  <c:v>39.99998480017938</c:v>
                </c:pt>
                <c:pt idx="3">
                  <c:v>40.41419494639538</c:v>
                </c:pt>
                <c:pt idx="4">
                  <c:v>40.73203325610551</c:v>
                </c:pt>
                <c:pt idx="5">
                  <c:v>40.93184029565336</c:v>
                </c:pt>
                <c:pt idx="6">
                  <c:v>40.9999999993069</c:v>
                </c:pt>
                <c:pt idx="7">
                  <c:v>40.9318675507107</c:v>
                </c:pt>
                <c:pt idx="8">
                  <c:v>40.732085908894966</c:v>
                </c:pt>
                <c:pt idx="9">
                  <c:v>40.41426940883596</c:v>
                </c:pt>
                <c:pt idx="10">
                  <c:v>40.00007599794794</c:v>
                </c:pt>
                <c:pt idx="11">
                  <c:v>39.517731331949484</c:v>
                </c:pt>
                <c:pt idx="12">
                  <c:v>39.00010530717954</c:v>
                </c:pt>
                <c:pt idx="13">
                  <c:v>38.482472106138516</c:v>
                </c:pt>
                <c:pt idx="14">
                  <c:v>38.000106400361545</c:v>
                </c:pt>
                <c:pt idx="15">
                  <c:v>37.58587951996593</c:v>
                </c:pt>
                <c:pt idx="16">
                  <c:v>37.268019401485844</c:v>
                </c:pt>
                <c:pt idx="17">
                  <c:v>37.06818696475981</c:v>
                </c:pt>
                <c:pt idx="18">
                  <c:v>37.000000006237904</c:v>
                </c:pt>
                <c:pt idx="19">
                  <c:v>37.068105199587876</c:v>
                </c:pt>
                <c:pt idx="20">
                  <c:v>37.2678614431176</c:v>
                </c:pt>
                <c:pt idx="21">
                  <c:v>37.585656132644374</c:v>
                </c:pt>
                <c:pt idx="22">
                  <c:v>37.99983280705611</c:v>
                </c:pt>
                <c:pt idx="23">
                  <c:v>38.482166951159414</c:v>
                </c:pt>
                <c:pt idx="24">
                  <c:v>38.999789385641215</c:v>
                </c:pt>
              </c:numCache>
            </c:numRef>
          </c:yVal>
          <c:smooth val="0"/>
        </c:ser>
        <c:ser>
          <c:idx val="4"/>
          <c:order val="4"/>
          <c:tx>
            <c:v>panel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c!$O$13:$O$17</c:f>
              <c:numCache>
                <c:ptCount val="5"/>
                <c:pt idx="0">
                  <c:v>17.875</c:v>
                </c:pt>
                <c:pt idx="1">
                  <c:v>17.875</c:v>
                </c:pt>
                <c:pt idx="3">
                  <c:v>34.375</c:v>
                </c:pt>
                <c:pt idx="4">
                  <c:v>34.375</c:v>
                </c:pt>
              </c:numCache>
            </c:numRef>
          </c:xVal>
          <c:yVal>
            <c:numRef>
              <c:f>c!$P$13:$P$17</c:f>
              <c:numCache>
                <c:ptCount val="5"/>
                <c:pt idx="0">
                  <c:v>0</c:v>
                </c:pt>
                <c:pt idx="1">
                  <c:v>42</c:v>
                </c:pt>
                <c:pt idx="3">
                  <c:v>0</c:v>
                </c:pt>
                <c:pt idx="4">
                  <c:v>42</c:v>
                </c:pt>
              </c:numCache>
            </c:numRef>
          </c:yVal>
          <c:smooth val="0"/>
        </c:ser>
        <c:ser>
          <c:idx val="5"/>
          <c:order val="5"/>
          <c:tx>
            <c:v>hidden panel</c:v>
          </c:tx>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c!$O$19:$O$35</c:f>
              <c:numCache>
                <c:ptCount val="17"/>
                <c:pt idx="0">
                  <c:v>17.875</c:v>
                </c:pt>
                <c:pt idx="1">
                  <c:v>34.375</c:v>
                </c:pt>
                <c:pt idx="3">
                  <c:v>34.375</c:v>
                </c:pt>
                <c:pt idx="4">
                  <c:v>17.875</c:v>
                </c:pt>
                <c:pt idx="6">
                  <c:v>0.75</c:v>
                </c:pt>
                <c:pt idx="7">
                  <c:v>0.75</c:v>
                </c:pt>
                <c:pt idx="9">
                  <c:v>10.375</c:v>
                </c:pt>
                <c:pt idx="10">
                  <c:v>10.375</c:v>
                </c:pt>
                <c:pt idx="12">
                  <c:v>0.75</c:v>
                </c:pt>
                <c:pt idx="13">
                  <c:v>10.375</c:v>
                </c:pt>
                <c:pt idx="15">
                  <c:v>0.75</c:v>
                </c:pt>
                <c:pt idx="16">
                  <c:v>10.375</c:v>
                </c:pt>
              </c:numCache>
            </c:numRef>
          </c:xVal>
          <c:yVal>
            <c:numRef>
              <c:f>c!$P$19:$P$35</c:f>
              <c:numCache>
                <c:ptCount val="17"/>
                <c:pt idx="0">
                  <c:v>0.75</c:v>
                </c:pt>
                <c:pt idx="1">
                  <c:v>0.75</c:v>
                </c:pt>
                <c:pt idx="3">
                  <c:v>41.25</c:v>
                </c:pt>
                <c:pt idx="4">
                  <c:v>41.25</c:v>
                </c:pt>
                <c:pt idx="6">
                  <c:v>0</c:v>
                </c:pt>
                <c:pt idx="7">
                  <c:v>42</c:v>
                </c:pt>
                <c:pt idx="9">
                  <c:v>0</c:v>
                </c:pt>
                <c:pt idx="10">
                  <c:v>42</c:v>
                </c:pt>
                <c:pt idx="12">
                  <c:v>0.75</c:v>
                </c:pt>
                <c:pt idx="13">
                  <c:v>0.75</c:v>
                </c:pt>
                <c:pt idx="15">
                  <c:v>41.25</c:v>
                </c:pt>
                <c:pt idx="16">
                  <c:v>41.25</c:v>
                </c:pt>
              </c:numCache>
            </c:numRef>
          </c:yVal>
          <c:smooth val="0"/>
        </c:ser>
        <c:ser>
          <c:idx val="6"/>
          <c:order val="6"/>
          <c:tx>
            <c:v>circle3</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xVal>
            <c:numRef>
              <c:f>c!$F$89:$F$113</c:f>
              <c:numCache>
                <c:ptCount val="25"/>
                <c:pt idx="0">
                  <c:v>10.5625</c:v>
                </c:pt>
                <c:pt idx="1">
                  <c:v>10.392134809628779</c:v>
                </c:pt>
                <c:pt idx="2">
                  <c:v>9.892648957751206</c:v>
                </c:pt>
                <c:pt idx="3">
                  <c:v>9.098080445264422</c:v>
                </c:pt>
                <c:pt idx="4">
                  <c:v>8.062575998525542</c:v>
                </c:pt>
                <c:pt idx="5">
                  <c:v>6.856701182414134</c:v>
                </c:pt>
                <c:pt idx="6">
                  <c:v>5.562631633974468</c:v>
                </c:pt>
                <c:pt idx="7">
                  <c:v>4.268553115195954</c:v>
                </c:pt>
                <c:pt idx="8">
                  <c:v>3.062651999361396</c:v>
                </c:pt>
                <c:pt idx="9">
                  <c:v>2.0271057157380032</c:v>
                </c:pt>
                <c:pt idx="10">
                  <c:v>1.232482680224857</c:v>
                </c:pt>
                <c:pt idx="11">
                  <c:v>0.732933334709382</c:v>
                </c:pt>
                <c:pt idx="12">
                  <c:v>0.5625000069310016</c:v>
                </c:pt>
                <c:pt idx="13">
                  <c:v>0.732797059422742</c:v>
                </c:pt>
                <c:pt idx="14">
                  <c:v>1.2322194162776379</c:v>
                </c:pt>
                <c:pt idx="15">
                  <c:v>2.026733403535198</c:v>
                </c:pt>
                <c:pt idx="16">
                  <c:v>3.0621960105187305</c:v>
                </c:pt>
                <c:pt idx="17">
                  <c:v>4.268044523563823</c:v>
                </c:pt>
                <c:pt idx="18">
                  <c:v>5.562105098076959</c:v>
                </c:pt>
                <c:pt idx="19">
                  <c:v>6.856192583606618</c:v>
                </c:pt>
                <c:pt idx="20">
                  <c:v>8.062119995821085</c:v>
                </c:pt>
                <c:pt idx="21">
                  <c:v>9.097708113458044</c:v>
                </c:pt>
                <c:pt idx="22">
                  <c:v>9.892385669794535</c:v>
                </c:pt>
                <c:pt idx="23">
                  <c:v>10.391998507562963</c:v>
                </c:pt>
                <c:pt idx="24">
                  <c:v>10.562499972275994</c:v>
                </c:pt>
              </c:numCache>
            </c:numRef>
          </c:xVal>
          <c:yVal>
            <c:numRef>
              <c:f>c!$H$89:$H$113</c:f>
              <c:numCache>
                <c:ptCount val="25"/>
                <c:pt idx="0">
                  <c:v>18</c:v>
                </c:pt>
                <c:pt idx="1">
                  <c:v>19.29407403405755</c:v>
                </c:pt>
                <c:pt idx="2">
                  <c:v>20.499962000448434</c:v>
                </c:pt>
                <c:pt idx="3">
                  <c:v>21.535487365988434</c:v>
                </c:pt>
                <c:pt idx="4">
                  <c:v>22.330083140263767</c:v>
                </c:pt>
                <c:pt idx="5">
                  <c:v>22.829600739133397</c:v>
                </c:pt>
                <c:pt idx="6">
                  <c:v>22.99999999826725</c:v>
                </c:pt>
                <c:pt idx="7">
                  <c:v>22.82966887677674</c:v>
                </c:pt>
                <c:pt idx="8">
                  <c:v>22.33021477223742</c:v>
                </c:pt>
                <c:pt idx="9">
                  <c:v>21.5356735220899</c:v>
                </c:pt>
                <c:pt idx="10">
                  <c:v>20.500189994869846</c:v>
                </c:pt>
                <c:pt idx="11">
                  <c:v>19.294328329873707</c:v>
                </c:pt>
                <c:pt idx="12">
                  <c:v>18.000263267948846</c:v>
                </c:pt>
                <c:pt idx="13">
                  <c:v>16.706180265346294</c:v>
                </c:pt>
                <c:pt idx="14">
                  <c:v>15.500266000903872</c:v>
                </c:pt>
                <c:pt idx="15">
                  <c:v>14.46469879991482</c:v>
                </c:pt>
                <c:pt idx="16">
                  <c:v>13.670048503714614</c:v>
                </c:pt>
                <c:pt idx="17">
                  <c:v>13.170467411899534</c:v>
                </c:pt>
                <c:pt idx="18">
                  <c:v>13.000000015594754</c:v>
                </c:pt>
                <c:pt idx="19">
                  <c:v>13.170262998969692</c:v>
                </c:pt>
                <c:pt idx="20">
                  <c:v>13.669653607794015</c:v>
                </c:pt>
                <c:pt idx="21">
                  <c:v>14.464140331610938</c:v>
                </c:pt>
                <c:pt idx="22">
                  <c:v>15.499582017640268</c:v>
                </c:pt>
                <c:pt idx="23">
                  <c:v>16.705417377898534</c:v>
                </c:pt>
                <c:pt idx="24">
                  <c:v>17.99947346410304</c:v>
                </c:pt>
              </c:numCache>
            </c:numRef>
          </c:yVal>
          <c:smooth val="1"/>
        </c:ser>
        <c:ser>
          <c:idx val="7"/>
          <c:order val="7"/>
          <c:tx>
            <c:v>circle side view</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c!$L$115:$L$139</c:f>
              <c:numCache>
                <c:ptCount val="25"/>
                <c:pt idx="0">
                  <c:v>26.125</c:v>
                </c:pt>
                <c:pt idx="1">
                  <c:v>26.125</c:v>
                </c:pt>
                <c:pt idx="2">
                  <c:v>26.125</c:v>
                </c:pt>
                <c:pt idx="3">
                  <c:v>26.125</c:v>
                </c:pt>
                <c:pt idx="4">
                  <c:v>26.125</c:v>
                </c:pt>
                <c:pt idx="5">
                  <c:v>26.125</c:v>
                </c:pt>
                <c:pt idx="6">
                  <c:v>26.125</c:v>
                </c:pt>
                <c:pt idx="7">
                  <c:v>26.125</c:v>
                </c:pt>
                <c:pt idx="8">
                  <c:v>26.125</c:v>
                </c:pt>
                <c:pt idx="9">
                  <c:v>26.125</c:v>
                </c:pt>
                <c:pt idx="10">
                  <c:v>26.125</c:v>
                </c:pt>
                <c:pt idx="11">
                  <c:v>26.125</c:v>
                </c:pt>
                <c:pt idx="12">
                  <c:v>26.125</c:v>
                </c:pt>
                <c:pt idx="13">
                  <c:v>26.125</c:v>
                </c:pt>
                <c:pt idx="14">
                  <c:v>26.125</c:v>
                </c:pt>
                <c:pt idx="15">
                  <c:v>26.125</c:v>
                </c:pt>
                <c:pt idx="16">
                  <c:v>26.125</c:v>
                </c:pt>
                <c:pt idx="17">
                  <c:v>26.125</c:v>
                </c:pt>
                <c:pt idx="18">
                  <c:v>26.125</c:v>
                </c:pt>
                <c:pt idx="19">
                  <c:v>26.125</c:v>
                </c:pt>
                <c:pt idx="20">
                  <c:v>26.125</c:v>
                </c:pt>
                <c:pt idx="21">
                  <c:v>26.125</c:v>
                </c:pt>
                <c:pt idx="22">
                  <c:v>26.125</c:v>
                </c:pt>
                <c:pt idx="23">
                  <c:v>26.125</c:v>
                </c:pt>
                <c:pt idx="24">
                  <c:v>26.125</c:v>
                </c:pt>
              </c:numCache>
            </c:numRef>
          </c:xVal>
          <c:yVal>
            <c:numRef>
              <c:f>c!$H$115:$H$139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22291989"/>
        <c:axId val="66410174"/>
      </c:scatterChart>
      <c:valAx>
        <c:axId val="22291989"/>
        <c:scaling>
          <c:orientation val="minMax"/>
        </c:scaling>
        <c:axPos val="b"/>
        <c:delete val="0"/>
        <c:numFmt formatCode="General" sourceLinked="1"/>
        <c:majorTickMark val="out"/>
        <c:minorTickMark val="none"/>
        <c:tickLblPos val="nextTo"/>
        <c:spPr>
          <a:ln w="3175">
            <a:noFill/>
          </a:ln>
        </c:spPr>
        <c:txPr>
          <a:bodyPr/>
          <a:lstStyle/>
          <a:p>
            <a:pPr>
              <a:defRPr lang="en-US" cap="none" sz="875" b="0" i="0" u="none" baseline="0">
                <a:solidFill>
                  <a:srgbClr val="FFFFFF"/>
                </a:solidFill>
                <a:latin typeface="Arial"/>
                <a:ea typeface="Arial"/>
                <a:cs typeface="Arial"/>
              </a:defRPr>
            </a:pPr>
          </a:p>
        </c:txPr>
        <c:crossAx val="66410174"/>
        <c:crosses val="autoZero"/>
        <c:crossBetween val="midCat"/>
        <c:dispUnits/>
      </c:valAx>
      <c:valAx>
        <c:axId val="6641017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noFill/>
          </a:ln>
        </c:spPr>
        <c:txPr>
          <a:bodyPr/>
          <a:lstStyle/>
          <a:p>
            <a:pPr>
              <a:defRPr lang="en-US" cap="none" sz="875" b="0" i="0" u="none" baseline="0">
                <a:solidFill>
                  <a:srgbClr val="FFFFFF"/>
                </a:solidFill>
                <a:latin typeface="Arial"/>
                <a:ea typeface="Arial"/>
                <a:cs typeface="Arial"/>
              </a:defRPr>
            </a:pPr>
          </a:p>
        </c:txPr>
        <c:crossAx val="22291989"/>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400050</xdr:colOff>
      <xdr:row>22</xdr:row>
      <xdr:rowOff>9525</xdr:rowOff>
    </xdr:from>
    <xdr:to>
      <xdr:col>12</xdr:col>
      <xdr:colOff>638175</xdr:colOff>
      <xdr:row>50</xdr:row>
      <xdr:rowOff>438150</xdr:rowOff>
    </xdr:to>
    <xdr:graphicFrame>
      <xdr:nvGraphicFramePr>
        <xdr:cNvPr id="1" name="Chart 53"/>
        <xdr:cNvGraphicFramePr/>
      </xdr:nvGraphicFramePr>
      <xdr:xfrm>
        <a:off x="5172075" y="4295775"/>
        <a:ext cx="4752975" cy="487680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209550</xdr:colOff>
      <xdr:row>22</xdr:row>
      <xdr:rowOff>9525</xdr:rowOff>
    </xdr:from>
    <xdr:to>
      <xdr:col>6</xdr:col>
      <xdr:colOff>609600</xdr:colOff>
      <xdr:row>50</xdr:row>
      <xdr:rowOff>419100</xdr:rowOff>
    </xdr:to>
    <xdr:graphicFrame>
      <xdr:nvGraphicFramePr>
        <xdr:cNvPr id="2" name="Chart 71"/>
        <xdr:cNvGraphicFramePr/>
      </xdr:nvGraphicFramePr>
      <xdr:xfrm>
        <a:off x="209550" y="4295775"/>
        <a:ext cx="5172075" cy="4857750"/>
      </xdr:xfrm>
      <a:graphic>
        <a:graphicData uri="http://schemas.openxmlformats.org/drawingml/2006/chart">
          <c:chart xmlns:c="http://schemas.openxmlformats.org/drawingml/2006/chart" r:id="rId2"/>
        </a:graphicData>
      </a:graphic>
    </xdr:graphicFrame>
    <xdr:clientData/>
  </xdr:twoCellAnchor>
  <xdr:twoCellAnchor>
    <xdr:from>
      <xdr:col>2</xdr:col>
      <xdr:colOff>200025</xdr:colOff>
      <xdr:row>1</xdr:row>
      <xdr:rowOff>38100</xdr:rowOff>
    </xdr:from>
    <xdr:to>
      <xdr:col>2</xdr:col>
      <xdr:colOff>371475</xdr:colOff>
      <xdr:row>1</xdr:row>
      <xdr:rowOff>314325</xdr:rowOff>
    </xdr:to>
    <xdr:grpSp>
      <xdr:nvGrpSpPr>
        <xdr:cNvPr id="3" name="Group 97"/>
        <xdr:cNvGrpSpPr>
          <a:grpSpLocks/>
        </xdr:cNvGrpSpPr>
      </xdr:nvGrpSpPr>
      <xdr:grpSpPr>
        <a:xfrm>
          <a:off x="1485900" y="104775"/>
          <a:ext cx="171450" cy="276225"/>
          <a:chOff x="353" y="155"/>
          <a:chExt cx="24" cy="38"/>
        </a:xfrm>
        <a:solidFill>
          <a:srgbClr val="FFFFFF"/>
        </a:solidFill>
      </xdr:grpSpPr>
      <xdr:sp>
        <xdr:nvSpPr>
          <xdr:cNvPr id="4" name="AutoShape 92"/>
          <xdr:cNvSpPr>
            <a:spLocks/>
          </xdr:cNvSpPr>
        </xdr:nvSpPr>
        <xdr:spPr>
          <a:xfrm>
            <a:off x="353" y="155"/>
            <a:ext cx="24" cy="38"/>
          </a:xfrm>
          <a:prstGeom prst="cube">
            <a:avLst>
              <a:gd name="adj" fmla="val -8333"/>
            </a:avLst>
          </a:prstGeom>
          <a:solidFill>
            <a:srgbClr val="99CC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Oval 94"/>
          <xdr:cNvSpPr>
            <a:spLocks/>
          </xdr:cNvSpPr>
        </xdr:nvSpPr>
        <xdr:spPr>
          <a:xfrm>
            <a:off x="354" y="176"/>
            <a:ext cx="12" cy="13"/>
          </a:xfrm>
          <a:prstGeom prst="ellipse">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Oval 95"/>
          <xdr:cNvSpPr>
            <a:spLocks/>
          </xdr:cNvSpPr>
        </xdr:nvSpPr>
        <xdr:spPr>
          <a:xfrm>
            <a:off x="357" y="168"/>
            <a:ext cx="6" cy="7"/>
          </a:xfrm>
          <a:prstGeom prst="ellipse">
            <a:avLst/>
          </a:prstGeom>
          <a:solidFill>
            <a:srgbClr val="3366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19</xdr:row>
      <xdr:rowOff>57150</xdr:rowOff>
    </xdr:from>
    <xdr:to>
      <xdr:col>8</xdr:col>
      <xdr:colOff>285750</xdr:colOff>
      <xdr:row>21</xdr:row>
      <xdr:rowOff>114300</xdr:rowOff>
    </xdr:to>
    <xdr:grpSp>
      <xdr:nvGrpSpPr>
        <xdr:cNvPr id="1" name="Group 20"/>
        <xdr:cNvGrpSpPr>
          <a:grpSpLocks/>
        </xdr:cNvGrpSpPr>
      </xdr:nvGrpSpPr>
      <xdr:grpSpPr>
        <a:xfrm>
          <a:off x="4419600" y="3248025"/>
          <a:ext cx="1019175" cy="381000"/>
          <a:chOff x="455" y="320"/>
          <a:chExt cx="94" cy="40"/>
        </a:xfrm>
        <a:solidFill>
          <a:srgbClr val="FFFFFF"/>
        </a:solidFill>
      </xdr:grpSpPr>
      <xdr:sp>
        <xdr:nvSpPr>
          <xdr:cNvPr id="2" name="Rectangle 2"/>
          <xdr:cNvSpPr>
            <a:spLocks/>
          </xdr:cNvSpPr>
        </xdr:nvSpPr>
        <xdr:spPr>
          <a:xfrm>
            <a:off x="489" y="320"/>
            <a:ext cx="33" cy="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ectangle 3"/>
          <xdr:cNvSpPr>
            <a:spLocks/>
          </xdr:cNvSpPr>
        </xdr:nvSpPr>
        <xdr:spPr>
          <a:xfrm>
            <a:off x="489" y="346"/>
            <a:ext cx="33" cy="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Oval 5"/>
          <xdr:cNvSpPr>
            <a:spLocks/>
          </xdr:cNvSpPr>
        </xdr:nvSpPr>
        <xdr:spPr>
          <a:xfrm>
            <a:off x="455" y="335"/>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6"/>
          <xdr:cNvSpPr>
            <a:spLocks/>
          </xdr:cNvSpPr>
        </xdr:nvSpPr>
        <xdr:spPr>
          <a:xfrm>
            <a:off x="541" y="335"/>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8"/>
          <xdr:cNvSpPr>
            <a:spLocks/>
          </xdr:cNvSpPr>
        </xdr:nvSpPr>
        <xdr:spPr>
          <a:xfrm flipV="1">
            <a:off x="463" y="327"/>
            <a:ext cx="26" cy="12"/>
          </a:xfrm>
          <a:prstGeom prst="bentConnector3">
            <a:avLst>
              <a:gd name="adj1" fmla="val 3300000"/>
              <a:gd name="adj2" fmla="val -207692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9"/>
          <xdr:cNvSpPr>
            <a:spLocks/>
          </xdr:cNvSpPr>
        </xdr:nvSpPr>
        <xdr:spPr>
          <a:xfrm>
            <a:off x="522" y="327"/>
            <a:ext cx="19" cy="12"/>
          </a:xfrm>
          <a:prstGeom prst="bentConnector3">
            <a:avLst>
              <a:gd name="adj1" fmla="val 47370"/>
              <a:gd name="adj2" fmla="val -3200000"/>
              <a:gd name="adj3" fmla="val -315262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10"/>
          <xdr:cNvSpPr>
            <a:spLocks/>
          </xdr:cNvSpPr>
        </xdr:nvSpPr>
        <xdr:spPr>
          <a:xfrm>
            <a:off x="463" y="339"/>
            <a:ext cx="26" cy="14"/>
          </a:xfrm>
          <a:prstGeom prst="bentConnector3">
            <a:avLst>
              <a:gd name="adj1" fmla="val -2828569"/>
              <a:gd name="adj2" fmla="val -207692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11"/>
          <xdr:cNvSpPr>
            <a:spLocks/>
          </xdr:cNvSpPr>
        </xdr:nvSpPr>
        <xdr:spPr>
          <a:xfrm flipV="1">
            <a:off x="522" y="339"/>
            <a:ext cx="19" cy="14"/>
          </a:xfrm>
          <a:prstGeom prst="bentConnector3">
            <a:avLst>
              <a:gd name="adj1" fmla="val 47370"/>
              <a:gd name="adj2" fmla="val 2928569"/>
              <a:gd name="adj3" fmla="val -315262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9525</xdr:colOff>
      <xdr:row>10</xdr:row>
      <xdr:rowOff>57150</xdr:rowOff>
    </xdr:from>
    <xdr:to>
      <xdr:col>8</xdr:col>
      <xdr:colOff>504825</xdr:colOff>
      <xdr:row>11</xdr:row>
      <xdr:rowOff>9525</xdr:rowOff>
    </xdr:to>
    <xdr:grpSp>
      <xdr:nvGrpSpPr>
        <xdr:cNvPr id="10" name="Group 21"/>
        <xdr:cNvGrpSpPr>
          <a:grpSpLocks/>
        </xdr:cNvGrpSpPr>
      </xdr:nvGrpSpPr>
      <xdr:grpSpPr>
        <a:xfrm>
          <a:off x="4429125" y="1743075"/>
          <a:ext cx="1228725" cy="133350"/>
          <a:chOff x="479" y="399"/>
          <a:chExt cx="116" cy="14"/>
        </a:xfrm>
        <a:solidFill>
          <a:srgbClr val="FFFFFF"/>
        </a:solidFill>
      </xdr:grpSpPr>
      <xdr:sp>
        <xdr:nvSpPr>
          <xdr:cNvPr id="11" name="Rectangle 13"/>
          <xdr:cNvSpPr>
            <a:spLocks/>
          </xdr:cNvSpPr>
        </xdr:nvSpPr>
        <xdr:spPr>
          <a:xfrm>
            <a:off x="496" y="399"/>
            <a:ext cx="33" cy="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4"/>
          <xdr:cNvSpPr>
            <a:spLocks/>
          </xdr:cNvSpPr>
        </xdr:nvSpPr>
        <xdr:spPr>
          <a:xfrm>
            <a:off x="545" y="399"/>
            <a:ext cx="33" cy="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a:off x="479" y="402"/>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Oval 16"/>
          <xdr:cNvSpPr>
            <a:spLocks/>
          </xdr:cNvSpPr>
        </xdr:nvSpPr>
        <xdr:spPr>
          <a:xfrm>
            <a:off x="587" y="402"/>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utoShape 17"/>
          <xdr:cNvSpPr>
            <a:spLocks/>
          </xdr:cNvSpPr>
        </xdr:nvSpPr>
        <xdr:spPr>
          <a:xfrm>
            <a:off x="487" y="406"/>
            <a:ext cx="9"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utoShape 18"/>
          <xdr:cNvSpPr>
            <a:spLocks/>
          </xdr:cNvSpPr>
        </xdr:nvSpPr>
        <xdr:spPr>
          <a:xfrm>
            <a:off x="529" y="406"/>
            <a:ext cx="16"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utoShape 19"/>
          <xdr:cNvSpPr>
            <a:spLocks/>
          </xdr:cNvSpPr>
        </xdr:nvSpPr>
        <xdr:spPr>
          <a:xfrm>
            <a:off x="578" y="406"/>
            <a:ext cx="9"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504825</xdr:colOff>
      <xdr:row>39</xdr:row>
      <xdr:rowOff>133350</xdr:rowOff>
    </xdr:from>
    <xdr:to>
      <xdr:col>13</xdr:col>
      <xdr:colOff>285750</xdr:colOff>
      <xdr:row>51</xdr:row>
      <xdr:rowOff>85725</xdr:rowOff>
    </xdr:to>
    <xdr:grpSp>
      <xdr:nvGrpSpPr>
        <xdr:cNvPr id="18" name="Group 296"/>
        <xdr:cNvGrpSpPr>
          <a:grpSpLocks/>
        </xdr:cNvGrpSpPr>
      </xdr:nvGrpSpPr>
      <xdr:grpSpPr>
        <a:xfrm>
          <a:off x="4314825" y="6696075"/>
          <a:ext cx="4352925" cy="6762750"/>
          <a:chOff x="451" y="683"/>
          <a:chExt cx="457" cy="200"/>
        </a:xfrm>
        <a:solidFill>
          <a:srgbClr val="FFFFFF"/>
        </a:solidFill>
      </xdr:grpSpPr>
      <xdr:sp>
        <xdr:nvSpPr>
          <xdr:cNvPr id="19" name="AutoShape 113"/>
          <xdr:cNvSpPr>
            <a:spLocks/>
          </xdr:cNvSpPr>
        </xdr:nvSpPr>
        <xdr:spPr>
          <a:xfrm flipH="1">
            <a:off x="711" y="789"/>
            <a:ext cx="127"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utoShape 137"/>
          <xdr:cNvSpPr>
            <a:spLocks/>
          </xdr:cNvSpPr>
        </xdr:nvSpPr>
        <xdr:spPr>
          <a:xfrm flipV="1">
            <a:off x="604" y="730"/>
            <a:ext cx="0" cy="3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138"/>
          <xdr:cNvSpPr>
            <a:spLocks/>
          </xdr:cNvSpPr>
        </xdr:nvSpPr>
        <xdr:spPr>
          <a:xfrm flipV="1">
            <a:off x="604" y="810"/>
            <a:ext cx="0" cy="27"/>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143"/>
          <xdr:cNvSpPr>
            <a:spLocks/>
          </xdr:cNvSpPr>
        </xdr:nvSpPr>
        <xdr:spPr>
          <a:xfrm flipV="1">
            <a:off x="451" y="692"/>
            <a:ext cx="152" cy="80"/>
          </a:xfrm>
          <a:prstGeom prst="bentConnector4">
            <a:avLst>
              <a:gd name="adj1" fmla="val -3949"/>
              <a:gd name="adj2" fmla="val 76250"/>
              <a:gd name="adj3" fmla="val -39144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144"/>
          <xdr:cNvSpPr>
            <a:spLocks/>
          </xdr:cNvSpPr>
        </xdr:nvSpPr>
        <xdr:spPr>
          <a:xfrm>
            <a:off x="452" y="789"/>
            <a:ext cx="150" cy="94"/>
          </a:xfrm>
          <a:prstGeom prst="bentConnector4">
            <a:avLst>
              <a:gd name="adj1" fmla="val -5333"/>
              <a:gd name="adj2" fmla="val 65958"/>
              <a:gd name="adj3" fmla="val -397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147"/>
          <xdr:cNvSpPr>
            <a:spLocks/>
          </xdr:cNvSpPr>
        </xdr:nvSpPr>
        <xdr:spPr>
          <a:xfrm>
            <a:off x="708" y="683"/>
            <a:ext cx="199" cy="79"/>
          </a:xfrm>
          <a:prstGeom prst="bentConnector3">
            <a:avLst>
              <a:gd name="adj1" fmla="val 77888"/>
              <a:gd name="adj2" fmla="val -1382277"/>
              <a:gd name="adj3" fmla="val -38793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148"/>
          <xdr:cNvSpPr>
            <a:spLocks/>
          </xdr:cNvSpPr>
        </xdr:nvSpPr>
        <xdr:spPr>
          <a:xfrm>
            <a:off x="709" y="747"/>
            <a:ext cx="128" cy="42"/>
          </a:xfrm>
          <a:prstGeom prst="bentConnector3">
            <a:avLst>
              <a:gd name="adj1" fmla="val 100782"/>
              <a:gd name="adj2" fmla="val -1778569"/>
              <a:gd name="adj3" fmla="val -55390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149"/>
          <xdr:cNvSpPr>
            <a:spLocks/>
          </xdr:cNvSpPr>
        </xdr:nvSpPr>
        <xdr:spPr>
          <a:xfrm flipV="1">
            <a:off x="712" y="781"/>
            <a:ext cx="196" cy="71"/>
          </a:xfrm>
          <a:prstGeom prst="bentConnector3">
            <a:avLst>
              <a:gd name="adj1" fmla="val 77037"/>
              <a:gd name="adj2" fmla="val 1774648"/>
              <a:gd name="adj3" fmla="val -39540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TextBox 152"/>
          <xdr:cNvSpPr txBox="1">
            <a:spLocks noChangeArrowheads="1"/>
          </xdr:cNvSpPr>
        </xdr:nvSpPr>
        <xdr:spPr>
          <a:xfrm>
            <a:off x="835" y="727"/>
            <a:ext cx="25" cy="17"/>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n1</a:t>
            </a:r>
          </a:p>
        </xdr:txBody>
      </xdr:sp>
    </xdr:grpSp>
    <xdr:clientData/>
  </xdr:twoCellAnchor>
  <xdr:twoCellAnchor>
    <xdr:from>
      <xdr:col>10</xdr:col>
      <xdr:colOff>371475</xdr:colOff>
      <xdr:row>39</xdr:row>
      <xdr:rowOff>142875</xdr:rowOff>
    </xdr:from>
    <xdr:to>
      <xdr:col>11</xdr:col>
      <xdr:colOff>85725</xdr:colOff>
      <xdr:row>43</xdr:row>
      <xdr:rowOff>76200</xdr:rowOff>
    </xdr:to>
    <xdr:sp>
      <xdr:nvSpPr>
        <xdr:cNvPr id="28" name="AutoShape 247"/>
        <xdr:cNvSpPr>
          <a:spLocks/>
        </xdr:cNvSpPr>
      </xdr:nvSpPr>
      <xdr:spPr>
        <a:xfrm rot="16200000">
          <a:off x="6867525" y="6705600"/>
          <a:ext cx="257175" cy="581025"/>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m3</a:t>
          </a:r>
        </a:p>
      </xdr:txBody>
    </xdr:sp>
    <xdr:clientData/>
  </xdr:twoCellAnchor>
  <xdr:twoCellAnchor>
    <xdr:from>
      <xdr:col>11</xdr:col>
      <xdr:colOff>666750</xdr:colOff>
      <xdr:row>39</xdr:row>
      <xdr:rowOff>142875</xdr:rowOff>
    </xdr:from>
    <xdr:to>
      <xdr:col>12</xdr:col>
      <xdr:colOff>190500</xdr:colOff>
      <xdr:row>43</xdr:row>
      <xdr:rowOff>76200</xdr:rowOff>
    </xdr:to>
    <xdr:sp>
      <xdr:nvSpPr>
        <xdr:cNvPr id="29" name="AutoShape 248"/>
        <xdr:cNvSpPr>
          <a:spLocks/>
        </xdr:cNvSpPr>
      </xdr:nvSpPr>
      <xdr:spPr>
        <a:xfrm rot="16200000">
          <a:off x="7705725" y="6705600"/>
          <a:ext cx="257175" cy="581025"/>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m1</a:t>
          </a:r>
        </a:p>
      </xdr:txBody>
    </xdr:sp>
    <xdr:clientData/>
  </xdr:twoCellAnchor>
  <xdr:twoCellAnchor>
    <xdr:from>
      <xdr:col>11</xdr:col>
      <xdr:colOff>247650</xdr:colOff>
      <xdr:row>39</xdr:row>
      <xdr:rowOff>133350</xdr:rowOff>
    </xdr:from>
    <xdr:to>
      <xdr:col>11</xdr:col>
      <xdr:colOff>504825</xdr:colOff>
      <xdr:row>43</xdr:row>
      <xdr:rowOff>66675</xdr:rowOff>
    </xdr:to>
    <xdr:sp>
      <xdr:nvSpPr>
        <xdr:cNvPr id="30" name="AutoShape 249"/>
        <xdr:cNvSpPr>
          <a:spLocks/>
        </xdr:cNvSpPr>
      </xdr:nvSpPr>
      <xdr:spPr>
        <a:xfrm rot="16200000">
          <a:off x="7286625" y="6696075"/>
          <a:ext cx="257175" cy="581025"/>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m2</a:t>
          </a:r>
          <a:r>
            <a:rPr lang="en-US" cap="none" sz="800" b="1" i="0" u="none" baseline="0">
              <a:solidFill>
                <a:srgbClr val="008000"/>
              </a:solidFill>
              <a:latin typeface="Arial"/>
              <a:ea typeface="Arial"/>
              <a:cs typeface="Arial"/>
            </a:rPr>
            <a:t>
</a:t>
          </a:r>
          <a:r>
            <a:rPr lang="en-US" cap="none" sz="800" b="1" i="0" u="none" baseline="0">
              <a:solidFill>
                <a:srgbClr val="FF0000"/>
              </a:solidFill>
              <a:latin typeface="Arial"/>
              <a:ea typeface="Arial"/>
              <a:cs typeface="Arial"/>
            </a:rPr>
            <a:t>m2</a:t>
          </a:r>
        </a:p>
      </xdr:txBody>
    </xdr:sp>
    <xdr:clientData/>
  </xdr:twoCellAnchor>
  <xdr:twoCellAnchor>
    <xdr:from>
      <xdr:col>8</xdr:col>
      <xdr:colOff>485775</xdr:colOff>
      <xdr:row>39</xdr:row>
      <xdr:rowOff>152400</xdr:rowOff>
    </xdr:from>
    <xdr:to>
      <xdr:col>9</xdr:col>
      <xdr:colOff>9525</xdr:colOff>
      <xdr:row>43</xdr:row>
      <xdr:rowOff>57150</xdr:rowOff>
    </xdr:to>
    <xdr:sp>
      <xdr:nvSpPr>
        <xdr:cNvPr id="31" name="AutoShape 252"/>
        <xdr:cNvSpPr>
          <a:spLocks/>
        </xdr:cNvSpPr>
      </xdr:nvSpPr>
      <xdr:spPr>
        <a:xfrm rot="5400000">
          <a:off x="5638800" y="6715125"/>
          <a:ext cx="257175" cy="552450"/>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8000"/>
              </a:solidFill>
              <a:latin typeface="Arial"/>
              <a:ea typeface="Arial"/>
              <a:cs typeface="Arial"/>
            </a:rPr>
            <a:t>n1</a:t>
          </a:r>
        </a:p>
      </xdr:txBody>
    </xdr:sp>
    <xdr:clientData/>
  </xdr:twoCellAnchor>
  <xdr:twoCellAnchor>
    <xdr:from>
      <xdr:col>11</xdr:col>
      <xdr:colOff>638175</xdr:colOff>
      <xdr:row>46</xdr:row>
      <xdr:rowOff>19050</xdr:rowOff>
    </xdr:from>
    <xdr:to>
      <xdr:col>12</xdr:col>
      <xdr:colOff>152400</xdr:colOff>
      <xdr:row>49</xdr:row>
      <xdr:rowOff>114300</xdr:rowOff>
    </xdr:to>
    <xdr:sp>
      <xdr:nvSpPr>
        <xdr:cNvPr id="32" name="AutoShape 257"/>
        <xdr:cNvSpPr>
          <a:spLocks/>
        </xdr:cNvSpPr>
      </xdr:nvSpPr>
      <xdr:spPr>
        <a:xfrm rot="16200000">
          <a:off x="7677150" y="12582525"/>
          <a:ext cx="247650" cy="581025"/>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m4</a:t>
          </a:r>
        </a:p>
      </xdr:txBody>
    </xdr:sp>
    <xdr:clientData/>
  </xdr:twoCellAnchor>
  <xdr:twoCellAnchor>
    <xdr:from>
      <xdr:col>11</xdr:col>
      <xdr:colOff>257175</xdr:colOff>
      <xdr:row>46</xdr:row>
      <xdr:rowOff>9525</xdr:rowOff>
    </xdr:from>
    <xdr:to>
      <xdr:col>11</xdr:col>
      <xdr:colOff>504825</xdr:colOff>
      <xdr:row>49</xdr:row>
      <xdr:rowOff>104775</xdr:rowOff>
    </xdr:to>
    <xdr:sp>
      <xdr:nvSpPr>
        <xdr:cNvPr id="33" name="AutoShape 258"/>
        <xdr:cNvSpPr>
          <a:spLocks/>
        </xdr:cNvSpPr>
      </xdr:nvSpPr>
      <xdr:spPr>
        <a:xfrm rot="16200000">
          <a:off x="7296150" y="12573000"/>
          <a:ext cx="247650" cy="581025"/>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m5</a:t>
          </a:r>
        </a:p>
      </xdr:txBody>
    </xdr:sp>
    <xdr:clientData/>
  </xdr:twoCellAnchor>
  <xdr:twoCellAnchor>
    <xdr:from>
      <xdr:col>10</xdr:col>
      <xdr:colOff>381000</xdr:colOff>
      <xdr:row>46</xdr:row>
      <xdr:rowOff>9525</xdr:rowOff>
    </xdr:from>
    <xdr:to>
      <xdr:col>11</xdr:col>
      <xdr:colOff>104775</xdr:colOff>
      <xdr:row>49</xdr:row>
      <xdr:rowOff>104775</xdr:rowOff>
    </xdr:to>
    <xdr:sp>
      <xdr:nvSpPr>
        <xdr:cNvPr id="34" name="AutoShape 259"/>
        <xdr:cNvSpPr>
          <a:spLocks/>
        </xdr:cNvSpPr>
      </xdr:nvSpPr>
      <xdr:spPr>
        <a:xfrm rot="16200000">
          <a:off x="6877050" y="12573000"/>
          <a:ext cx="266700" cy="581025"/>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FF0000"/>
              </a:solidFill>
              <a:latin typeface="Arial"/>
              <a:ea typeface="Arial"/>
              <a:cs typeface="Arial"/>
            </a:rPr>
            <a:t>m6</a:t>
          </a:r>
        </a:p>
      </xdr:txBody>
    </xdr:sp>
    <xdr:clientData/>
  </xdr:twoCellAnchor>
  <xdr:twoCellAnchor>
    <xdr:from>
      <xdr:col>8</xdr:col>
      <xdr:colOff>504825</xdr:colOff>
      <xdr:row>48</xdr:row>
      <xdr:rowOff>38100</xdr:rowOff>
    </xdr:from>
    <xdr:to>
      <xdr:col>9</xdr:col>
      <xdr:colOff>9525</xdr:colOff>
      <xdr:row>52</xdr:row>
      <xdr:rowOff>0</xdr:rowOff>
    </xdr:to>
    <xdr:sp>
      <xdr:nvSpPr>
        <xdr:cNvPr id="35" name="AutoShape 260"/>
        <xdr:cNvSpPr>
          <a:spLocks/>
        </xdr:cNvSpPr>
      </xdr:nvSpPr>
      <xdr:spPr>
        <a:xfrm rot="5400000">
          <a:off x="5657850" y="12925425"/>
          <a:ext cx="238125" cy="609600"/>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8000"/>
              </a:solidFill>
              <a:latin typeface="Arial"/>
              <a:ea typeface="Arial"/>
              <a:cs typeface="Arial"/>
            </a:rPr>
            <a:t>n3</a:t>
          </a:r>
        </a:p>
      </xdr:txBody>
    </xdr:sp>
    <xdr:clientData/>
  </xdr:twoCellAnchor>
  <xdr:twoCellAnchor>
    <xdr:from>
      <xdr:col>8</xdr:col>
      <xdr:colOff>476250</xdr:colOff>
      <xdr:row>43</xdr:row>
      <xdr:rowOff>133350</xdr:rowOff>
    </xdr:from>
    <xdr:to>
      <xdr:col>9</xdr:col>
      <xdr:colOff>0</xdr:colOff>
      <xdr:row>47</xdr:row>
      <xdr:rowOff>95250</xdr:rowOff>
    </xdr:to>
    <xdr:sp>
      <xdr:nvSpPr>
        <xdr:cNvPr id="36" name="AutoShape 262"/>
        <xdr:cNvSpPr>
          <a:spLocks/>
        </xdr:cNvSpPr>
      </xdr:nvSpPr>
      <xdr:spPr>
        <a:xfrm rot="5400000">
          <a:off x="5629275" y="7343775"/>
          <a:ext cx="257175" cy="5476875"/>
        </a:xfrm>
        <a:prstGeom prst="trapezoid">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8000"/>
              </a:solidFill>
              <a:latin typeface="Arial"/>
              <a:ea typeface="Arial"/>
              <a:cs typeface="Arial"/>
            </a:rPr>
            <a:t>n2</a:t>
          </a:r>
        </a:p>
      </xdr:txBody>
    </xdr:sp>
    <xdr:clientData/>
  </xdr:twoCellAnchor>
  <xdr:twoCellAnchor>
    <xdr:from>
      <xdr:col>12</xdr:col>
      <xdr:colOff>190500</xdr:colOff>
      <xdr:row>46</xdr:row>
      <xdr:rowOff>28575</xdr:rowOff>
    </xdr:from>
    <xdr:to>
      <xdr:col>12</xdr:col>
      <xdr:colOff>428625</xdr:colOff>
      <xdr:row>47</xdr:row>
      <xdr:rowOff>28575</xdr:rowOff>
    </xdr:to>
    <xdr:sp>
      <xdr:nvSpPr>
        <xdr:cNvPr id="37" name="TextBox 295"/>
        <xdr:cNvSpPr txBox="1">
          <a:spLocks noChangeArrowheads="1"/>
        </xdr:cNvSpPr>
      </xdr:nvSpPr>
      <xdr:spPr>
        <a:xfrm>
          <a:off x="7962900" y="12592050"/>
          <a:ext cx="238125" cy="161925"/>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n2</a:t>
          </a:r>
        </a:p>
      </xdr:txBody>
    </xdr:sp>
    <xdr:clientData/>
  </xdr:twoCellAnchor>
  <xdr:twoCellAnchor>
    <xdr:from>
      <xdr:col>6</xdr:col>
      <xdr:colOff>85725</xdr:colOff>
      <xdr:row>79</xdr:row>
      <xdr:rowOff>95250</xdr:rowOff>
    </xdr:from>
    <xdr:to>
      <xdr:col>6</xdr:col>
      <xdr:colOff>552450</xdr:colOff>
      <xdr:row>81</xdr:row>
      <xdr:rowOff>66675</xdr:rowOff>
    </xdr:to>
    <xdr:sp>
      <xdr:nvSpPr>
        <xdr:cNvPr id="38" name="Line 306"/>
        <xdr:cNvSpPr>
          <a:spLocks/>
        </xdr:cNvSpPr>
      </xdr:nvSpPr>
      <xdr:spPr>
        <a:xfrm flipH="1">
          <a:off x="3895725" y="18135600"/>
          <a:ext cx="466725" cy="2952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81</xdr:row>
      <xdr:rowOff>95250</xdr:rowOff>
    </xdr:from>
    <xdr:to>
      <xdr:col>6</xdr:col>
      <xdr:colOff>571500</xdr:colOff>
      <xdr:row>84</xdr:row>
      <xdr:rowOff>66675</xdr:rowOff>
    </xdr:to>
    <xdr:sp>
      <xdr:nvSpPr>
        <xdr:cNvPr id="39" name="Line 307"/>
        <xdr:cNvSpPr>
          <a:spLocks/>
        </xdr:cNvSpPr>
      </xdr:nvSpPr>
      <xdr:spPr>
        <a:xfrm flipH="1">
          <a:off x="3857625" y="18459450"/>
          <a:ext cx="523875" cy="4572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83</xdr:row>
      <xdr:rowOff>104775</xdr:rowOff>
    </xdr:from>
    <xdr:to>
      <xdr:col>6</xdr:col>
      <xdr:colOff>581025</xdr:colOff>
      <xdr:row>87</xdr:row>
      <xdr:rowOff>47625</xdr:rowOff>
    </xdr:to>
    <xdr:sp>
      <xdr:nvSpPr>
        <xdr:cNvPr id="40" name="Line 308"/>
        <xdr:cNvSpPr>
          <a:spLocks/>
        </xdr:cNvSpPr>
      </xdr:nvSpPr>
      <xdr:spPr>
        <a:xfrm flipH="1">
          <a:off x="3857625" y="18792825"/>
          <a:ext cx="533400" cy="5905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600075</xdr:colOff>
      <xdr:row>97</xdr:row>
      <xdr:rowOff>66675</xdr:rowOff>
    </xdr:from>
    <xdr:to>
      <xdr:col>9</xdr:col>
      <xdr:colOff>228600</xdr:colOff>
      <xdr:row>119</xdr:row>
      <xdr:rowOff>9525</xdr:rowOff>
    </xdr:to>
    <xdr:pic>
      <xdr:nvPicPr>
        <xdr:cNvPr id="41" name="Picture 312"/>
        <xdr:cNvPicPr preferRelativeResize="1">
          <a:picLocks noChangeAspect="1"/>
        </xdr:cNvPicPr>
      </xdr:nvPicPr>
      <xdr:blipFill>
        <a:blip r:embed="rId1"/>
        <a:stretch>
          <a:fillRect/>
        </a:stretch>
      </xdr:blipFill>
      <xdr:spPr>
        <a:xfrm>
          <a:off x="600075" y="21031200"/>
          <a:ext cx="5514975" cy="3505200"/>
        </a:xfrm>
        <a:prstGeom prst="rect">
          <a:avLst/>
        </a:prstGeom>
        <a:noFill/>
        <a:ln w="9525" cmpd="sng">
          <a:solidFill>
            <a:srgbClr val="000000"/>
          </a:solidFill>
          <a:headEnd type="none"/>
          <a:tailEnd type="none"/>
        </a:ln>
      </xdr:spPr>
    </xdr:pic>
    <xdr:clientData/>
  </xdr:twoCellAnchor>
  <xdr:twoCellAnchor editAs="oneCell">
    <xdr:from>
      <xdr:col>1</xdr:col>
      <xdr:colOff>0</xdr:colOff>
      <xdr:row>123</xdr:row>
      <xdr:rowOff>76200</xdr:rowOff>
    </xdr:from>
    <xdr:to>
      <xdr:col>11</xdr:col>
      <xdr:colOff>209550</xdr:colOff>
      <xdr:row>142</xdr:row>
      <xdr:rowOff>142875</xdr:rowOff>
    </xdr:to>
    <xdr:pic>
      <xdr:nvPicPr>
        <xdr:cNvPr id="42" name="Picture 313"/>
        <xdr:cNvPicPr preferRelativeResize="1">
          <a:picLocks noChangeAspect="1"/>
        </xdr:cNvPicPr>
      </xdr:nvPicPr>
      <xdr:blipFill>
        <a:blip r:embed="rId2"/>
        <a:stretch>
          <a:fillRect/>
        </a:stretch>
      </xdr:blipFill>
      <xdr:spPr>
        <a:xfrm>
          <a:off x="609600" y="25250775"/>
          <a:ext cx="6638925" cy="314325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4</xdr:row>
      <xdr:rowOff>142875</xdr:rowOff>
    </xdr:from>
    <xdr:to>
      <xdr:col>10</xdr:col>
      <xdr:colOff>704850</xdr:colOff>
      <xdr:row>13</xdr:row>
      <xdr:rowOff>171450</xdr:rowOff>
    </xdr:to>
    <xdr:pic>
      <xdr:nvPicPr>
        <xdr:cNvPr id="1" name="Picture 1"/>
        <xdr:cNvPicPr preferRelativeResize="1">
          <a:picLocks noChangeAspect="1"/>
        </xdr:cNvPicPr>
      </xdr:nvPicPr>
      <xdr:blipFill>
        <a:blip r:embed="rId1"/>
        <a:stretch>
          <a:fillRect/>
        </a:stretch>
      </xdr:blipFill>
      <xdr:spPr>
        <a:xfrm>
          <a:off x="5981700" y="838200"/>
          <a:ext cx="23336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B2:R73"/>
  <sheetViews>
    <sheetView tabSelected="1" zoomScale="85" zoomScaleNormal="85" zoomScaleSheetLayoutView="100" workbookViewId="0" topLeftCell="A1">
      <selection activeCell="J14" sqref="J14"/>
    </sheetView>
  </sheetViews>
  <sheetFormatPr defaultColWidth="9.140625" defaultRowHeight="12.75" customHeight="1"/>
  <cols>
    <col min="1" max="1" width="3.8515625" style="11" customWidth="1"/>
    <col min="2" max="2" width="15.421875" style="11" customWidth="1"/>
    <col min="3" max="3" width="13.7109375" style="11" customWidth="1"/>
    <col min="4" max="4" width="14.140625" style="11" customWidth="1"/>
    <col min="5" max="5" width="13.140625" style="11" customWidth="1"/>
    <col min="6" max="6" width="11.28125" style="11" customWidth="1"/>
    <col min="7" max="8" width="11.8515625" style="11" customWidth="1"/>
    <col min="9" max="9" width="11.7109375" style="11" customWidth="1"/>
    <col min="10" max="10" width="10.57421875" style="11" customWidth="1"/>
    <col min="11" max="11" width="12.28125" style="11" customWidth="1"/>
    <col min="12" max="12" width="9.421875" style="11" customWidth="1"/>
    <col min="13" max="13" width="9.8515625" style="11" customWidth="1"/>
    <col min="14" max="14" width="12.28125" style="11" customWidth="1"/>
    <col min="15" max="15" width="8.421875" style="11" customWidth="1"/>
    <col min="16" max="16" width="3.140625" style="11" hidden="1" customWidth="1"/>
    <col min="17" max="16384" width="9.140625" style="11" customWidth="1"/>
  </cols>
  <sheetData>
    <row r="1" ht="5.25" customHeight="1" thickBot="1"/>
    <row r="2" spans="2:14" ht="31.5" customHeight="1" thickBot="1">
      <c r="B2" s="74" t="s">
        <v>46</v>
      </c>
      <c r="C2" s="75"/>
      <c r="D2" s="161" t="s">
        <v>253</v>
      </c>
      <c r="E2" s="161" t="s">
        <v>267</v>
      </c>
      <c r="F2" s="76" t="s">
        <v>47</v>
      </c>
      <c r="G2" s="220" t="s">
        <v>50</v>
      </c>
      <c r="H2" s="221"/>
      <c r="I2" s="221"/>
      <c r="J2" s="221"/>
      <c r="K2" s="221"/>
      <c r="L2" s="221"/>
      <c r="M2" s="221"/>
      <c r="N2" s="221"/>
    </row>
    <row r="3" ht="14.25" customHeight="1" thickBot="1"/>
    <row r="4" spans="2:8" ht="15" customHeight="1">
      <c r="B4" s="172" t="s">
        <v>111</v>
      </c>
      <c r="C4" s="173"/>
      <c r="D4" s="173"/>
      <c r="E4" s="182" t="s">
        <v>139</v>
      </c>
      <c r="G4" s="188" t="s">
        <v>93</v>
      </c>
      <c r="H4" s="189"/>
    </row>
    <row r="5" spans="2:9" ht="16.5" customHeight="1">
      <c r="B5" s="241"/>
      <c r="C5" s="31" t="s">
        <v>38</v>
      </c>
      <c r="D5" s="31" t="s">
        <v>39</v>
      </c>
      <c r="E5" s="33" t="s">
        <v>158</v>
      </c>
      <c r="G5" s="190">
        <v>0.753</v>
      </c>
      <c r="H5" s="186" t="s">
        <v>42</v>
      </c>
      <c r="I5" s="21" t="str">
        <f>IF(E6&lt;0.25,"Err: Driver 1 not enough side space!"," ")</f>
        <v> </v>
      </c>
    </row>
    <row r="6" spans="2:18" ht="15" customHeight="1">
      <c r="B6" s="41" t="s">
        <v>134</v>
      </c>
      <c r="C6" s="42">
        <v>1</v>
      </c>
      <c r="D6" s="42">
        <v>4</v>
      </c>
      <c r="E6" s="246">
        <f>IF(D6&gt;0,(($B$18-D6)/2)-C6,"")</f>
        <v>2.5625</v>
      </c>
      <c r="G6" s="191" t="s">
        <v>92</v>
      </c>
      <c r="H6" s="187"/>
      <c r="I6" s="21" t="str">
        <f>IF(E7&lt;0.25,"Err: Driver 2 not enough side space!"," ")</f>
        <v> </v>
      </c>
      <c r="P6" s="16"/>
      <c r="Q6" s="27">
        <f>+(((D13*C13*B13)/1728)*28.32)*E13</f>
        <v>4.7914453125</v>
      </c>
      <c r="R6" s="27">
        <f>+Q6/28.32</f>
        <v>0.16918945312499997</v>
      </c>
    </row>
    <row r="7" spans="2:18" ht="15" customHeight="1">
      <c r="B7" s="41" t="s">
        <v>135</v>
      </c>
      <c r="C7" s="42">
        <v>0</v>
      </c>
      <c r="D7" s="42">
        <v>5</v>
      </c>
      <c r="E7" s="295">
        <f>IF(D7&gt;0,(($B$18-D7)/2)-C7,"")</f>
        <v>3.0625</v>
      </c>
      <c r="G7" s="184">
        <f>(c!B40+Q6+Q7)*Main!G5</f>
        <v>27.724724956942275</v>
      </c>
      <c r="H7" s="162" t="s">
        <v>43</v>
      </c>
      <c r="I7" s="21" t="str">
        <f>IF(E8&lt;0.25,"Err: Driver 3 not enough side space!"," ")</f>
        <v> </v>
      </c>
      <c r="P7" s="16"/>
      <c r="Q7" s="27">
        <f>+(((D14*C14*B14)/1728)*28.32)*E14</f>
        <v>0</v>
      </c>
      <c r="R7" s="27">
        <f>+Q7/28.32</f>
        <v>0</v>
      </c>
    </row>
    <row r="8" spans="2:16" ht="15" customHeight="1" thickBot="1">
      <c r="B8" s="41" t="s">
        <v>136</v>
      </c>
      <c r="C8" s="42">
        <v>0</v>
      </c>
      <c r="D8" s="42">
        <v>10</v>
      </c>
      <c r="E8" s="246">
        <f>IF(D8&gt;0,(($B$18-D8)/2)-C8,"")</f>
        <v>0.5625</v>
      </c>
      <c r="G8" s="185">
        <f>+G7*2.2046</f>
        <v>61.12192864007494</v>
      </c>
      <c r="H8" s="81" t="s">
        <v>51</v>
      </c>
      <c r="I8" s="211" t="str">
        <f>IF(E9&lt;0.25,"Err: Driver 4 not enough side space!"," ")</f>
        <v> </v>
      </c>
      <c r="P8" s="15"/>
    </row>
    <row r="9" spans="2:8" ht="14.25" customHeight="1" thickBot="1">
      <c r="B9" s="177" t="s">
        <v>137</v>
      </c>
      <c r="C9" s="178"/>
      <c r="D9" s="178">
        <v>0</v>
      </c>
      <c r="E9" s="208">
        <f>IF(D9&lt;&gt;0,((D18+G13+H13)-D9)/2,"")</f>
      </c>
      <c r="G9" s="20"/>
      <c r="H9" s="20"/>
    </row>
    <row r="10" spans="7:15" ht="15" customHeight="1" thickBot="1">
      <c r="G10" s="20"/>
      <c r="H10" s="20"/>
      <c r="I10" s="20"/>
      <c r="J10" s="20"/>
      <c r="K10" s="20"/>
      <c r="N10" s="20"/>
      <c r="O10" s="20"/>
    </row>
    <row r="11" spans="2:15" ht="15" customHeight="1">
      <c r="B11" s="172" t="s">
        <v>95</v>
      </c>
      <c r="C11" s="173"/>
      <c r="D11" s="173"/>
      <c r="E11" s="212"/>
      <c r="F11" s="490"/>
      <c r="G11" s="66" t="s">
        <v>94</v>
      </c>
      <c r="H11" s="40"/>
      <c r="I11" s="209"/>
      <c r="J11" s="210"/>
      <c r="K11" s="275" t="str">
        <f>IF(((D6/2)+G18)&gt;C18,"Err: Driver 1 too high!"," ")</f>
        <v> </v>
      </c>
      <c r="M11" s="25"/>
      <c r="O11" s="20"/>
    </row>
    <row r="12" spans="2:15" ht="15.75" customHeight="1">
      <c r="B12" s="32" t="s">
        <v>33</v>
      </c>
      <c r="C12" s="31" t="s">
        <v>57</v>
      </c>
      <c r="D12" s="31" t="s">
        <v>35</v>
      </c>
      <c r="E12" s="33" t="s">
        <v>70</v>
      </c>
      <c r="F12" s="490"/>
      <c r="G12" s="32" t="s">
        <v>22</v>
      </c>
      <c r="H12" s="31" t="s">
        <v>36</v>
      </c>
      <c r="I12" s="31" t="s">
        <v>75</v>
      </c>
      <c r="J12" s="33" t="s">
        <v>37</v>
      </c>
      <c r="K12" s="275" t="str">
        <f>IF(K19&lt;0.13,"Err:  Driver 1-2 too close?"," ")</f>
        <v> </v>
      </c>
      <c r="O12" s="20"/>
    </row>
    <row r="13" spans="2:15" ht="16.5" customHeight="1" thickBot="1">
      <c r="B13" s="247">
        <f>+B18-J13-J13</f>
        <v>9.625</v>
      </c>
      <c r="C13" s="158">
        <f>+C18-I13-I13</f>
        <v>40.5</v>
      </c>
      <c r="D13" s="36">
        <f>+J13</f>
        <v>0.75</v>
      </c>
      <c r="E13" s="37">
        <v>1</v>
      </c>
      <c r="F13" s="491" t="s">
        <v>63</v>
      </c>
      <c r="G13" s="217">
        <v>0.75</v>
      </c>
      <c r="H13" s="218">
        <v>0.75</v>
      </c>
      <c r="I13" s="218">
        <v>0.75</v>
      </c>
      <c r="J13" s="219">
        <v>0.75</v>
      </c>
      <c r="K13" s="275" t="str">
        <f>IF(K20&lt;0.128,"Err: Drivers 2-3 too close?"," ")</f>
        <v> </v>
      </c>
      <c r="O13" s="20"/>
    </row>
    <row r="14" spans="2:15" ht="16.5" customHeight="1" thickBot="1">
      <c r="B14" s="248">
        <f>+B13</f>
        <v>9.625</v>
      </c>
      <c r="C14" s="159">
        <f>+D18-G13-H13</f>
        <v>16.5</v>
      </c>
      <c r="D14" s="38">
        <f>+J13</f>
        <v>0.75</v>
      </c>
      <c r="E14" s="39">
        <v>0</v>
      </c>
      <c r="F14" s="491" t="s">
        <v>64</v>
      </c>
      <c r="K14" s="276"/>
      <c r="L14" s="175"/>
      <c r="O14" s="20"/>
    </row>
    <row r="15" spans="4:6" ht="16.5" customHeight="1" thickBot="1">
      <c r="D15" s="23" t="str">
        <f>IF(E14*E13&lt;&gt;0,"Err: one brace Qty must be 0"," ")</f>
        <v> </v>
      </c>
      <c r="F15" s="88"/>
    </row>
    <row r="16" spans="2:14" ht="15" customHeight="1">
      <c r="B16" s="493" t="s">
        <v>96</v>
      </c>
      <c r="C16" s="494"/>
      <c r="D16" s="495"/>
      <c r="E16" s="206" t="s">
        <v>146</v>
      </c>
      <c r="F16" s="88"/>
      <c r="G16" s="242" t="s">
        <v>144</v>
      </c>
      <c r="H16" s="243"/>
      <c r="I16" s="243"/>
      <c r="J16" s="243"/>
      <c r="K16" s="215" t="s">
        <v>139</v>
      </c>
      <c r="L16" s="215" t="s">
        <v>140</v>
      </c>
      <c r="M16" s="215" t="s">
        <v>194</v>
      </c>
      <c r="N16" s="216" t="s">
        <v>225</v>
      </c>
    </row>
    <row r="17" spans="2:14" ht="15" customHeight="1">
      <c r="B17" s="32" t="s">
        <v>33</v>
      </c>
      <c r="C17" s="31" t="s">
        <v>34</v>
      </c>
      <c r="D17" s="33" t="s">
        <v>35</v>
      </c>
      <c r="E17" s="207" t="s">
        <v>145</v>
      </c>
      <c r="F17" s="492"/>
      <c r="G17" s="32" t="s">
        <v>155</v>
      </c>
      <c r="H17" s="31" t="s">
        <v>154</v>
      </c>
      <c r="I17" s="261"/>
      <c r="J17" s="272" t="s">
        <v>159</v>
      </c>
      <c r="K17" s="213" t="s">
        <v>138</v>
      </c>
      <c r="L17" s="213" t="s">
        <v>142</v>
      </c>
      <c r="M17" s="213" t="s">
        <v>195</v>
      </c>
      <c r="N17" s="214" t="s">
        <v>226</v>
      </c>
    </row>
    <row r="18" spans="2:12" ht="15" customHeight="1">
      <c r="B18" s="203">
        <f>B19/8</f>
        <v>11.125</v>
      </c>
      <c r="C18" s="204">
        <f>C19/8</f>
        <v>42</v>
      </c>
      <c r="D18" s="205">
        <f>D19/8</f>
        <v>18</v>
      </c>
      <c r="E18" s="198">
        <f>c!A18-Q6-Q7</f>
        <v>100.60861404824999</v>
      </c>
      <c r="F18" s="491" t="s">
        <v>30</v>
      </c>
      <c r="G18" s="34">
        <f>IF(D6&gt;0,I18/8,"")</f>
        <v>39</v>
      </c>
      <c r="H18" s="259">
        <f>IF(D6&gt;0,C18-G18,"")</f>
        <v>3</v>
      </c>
      <c r="I18" s="64">
        <v>312</v>
      </c>
      <c r="J18" s="271">
        <v>1</v>
      </c>
      <c r="K18" s="176">
        <f>IF(D6&gt;0,C18-((D6/2)+G18),"")</f>
        <v>1</v>
      </c>
      <c r="L18" s="192"/>
    </row>
    <row r="19" spans="2:15" ht="15" customHeight="1" thickBot="1">
      <c r="B19" s="201">
        <v>89</v>
      </c>
      <c r="C19" s="174">
        <v>336</v>
      </c>
      <c r="D19" s="202">
        <v>144</v>
      </c>
      <c r="E19" s="199">
        <f>c!A17-R6-R7-P8</f>
        <v>3.552978515625</v>
      </c>
      <c r="F19" s="491" t="s">
        <v>20</v>
      </c>
      <c r="G19" s="34">
        <f>IF(D7&gt;0,I19/8,"")</f>
        <v>34</v>
      </c>
      <c r="H19" s="259">
        <f>IF(D7&gt;0,C18-G19,"")</f>
        <v>8</v>
      </c>
      <c r="I19" s="65">
        <v>272</v>
      </c>
      <c r="J19" s="271">
        <v>2</v>
      </c>
      <c r="K19" s="176">
        <f>IF(D7*D6&gt;0,SQRT((G19-G18)^2+(C7-C6)^2)-(D7+D6)/2,"")</f>
        <v>0.5990195135927845</v>
      </c>
      <c r="L19" s="168">
        <f>IF(D7*D6&gt;0,1130*12/(SQRT((G19-G18)^2+(C7-C6)^2)),"")</f>
        <v>2659.3347924737755</v>
      </c>
      <c r="M19" s="364" t="s">
        <v>56</v>
      </c>
      <c r="N19" s="170" t="s">
        <v>59</v>
      </c>
      <c r="O19" s="388" t="s">
        <v>268</v>
      </c>
    </row>
    <row r="20" spans="2:15" ht="15" customHeight="1" thickBot="1">
      <c r="B20" s="195" t="s">
        <v>67</v>
      </c>
      <c r="C20" s="194">
        <f>+B18*2.6</f>
        <v>28.925</v>
      </c>
      <c r="D20" s="193">
        <f>+B18*1.6</f>
        <v>17.8</v>
      </c>
      <c r="F20" s="88"/>
      <c r="G20" s="34">
        <f>IF(D8&gt;0,I20/8,"")</f>
        <v>18</v>
      </c>
      <c r="H20" s="262">
        <f>IF(D8&gt;0,C18-G20,"")</f>
        <v>24</v>
      </c>
      <c r="I20" s="65">
        <v>144</v>
      </c>
      <c r="J20" s="271">
        <v>3</v>
      </c>
      <c r="K20" s="176">
        <f>IF(D8*D7&gt;0,SQRT((G19-G20)^2+(C7-C8)^2)-(D7+D8)/2,"")</f>
        <v>8.5</v>
      </c>
      <c r="L20" s="168">
        <f>IF(D8*D7&gt;0,1130*12/(SQRT((G20-G19)^2+(C8-C7)^2)),"")</f>
        <v>847.5</v>
      </c>
      <c r="M20" s="168">
        <f>+c!D160</f>
        <v>376.2288321666536</v>
      </c>
      <c r="N20" s="487">
        <v>96</v>
      </c>
      <c r="O20" s="486">
        <f>+N20/12</f>
        <v>8</v>
      </c>
    </row>
    <row r="21" spans="2:12" ht="15" customHeight="1" thickBot="1">
      <c r="B21" s="183" t="s">
        <v>143</v>
      </c>
      <c r="C21" s="200">
        <f>(SoS)/((B18/2)/12)</f>
        <v>2437.752808988764</v>
      </c>
      <c r="D21" s="274"/>
      <c r="F21" s="88"/>
      <c r="G21" s="35">
        <f>IF(D9&gt;0,I21/8,"")</f>
      </c>
      <c r="H21" s="260"/>
      <c r="I21" s="179">
        <v>33</v>
      </c>
      <c r="J21" s="273">
        <v>4</v>
      </c>
      <c r="K21" s="180"/>
      <c r="L21" s="181">
        <f>IF(D8*D6&gt;0,1130*12/(SQRT((G20-G18)^2+(C8-C6)^2)),"")</f>
        <v>644.983426073494</v>
      </c>
    </row>
    <row r="22" ht="10.5" customHeight="1"/>
    <row r="23" ht="10.5" customHeight="1"/>
    <row r="24" ht="10.5" customHeight="1"/>
    <row r="25" ht="10.5" customHeight="1"/>
    <row r="31" ht="12.75" customHeight="1">
      <c r="N31" s="13"/>
    </row>
    <row r="32" ht="12.75" customHeight="1">
      <c r="G32" s="12"/>
    </row>
    <row r="34" ht="12.75" customHeight="1">
      <c r="G34" s="14"/>
    </row>
    <row r="49" spans="4:7" ht="12.75" customHeight="1">
      <c r="D49" s="20"/>
      <c r="E49" s="20"/>
      <c r="F49" s="20"/>
      <c r="G49" s="20"/>
    </row>
    <row r="50" spans="2:15" ht="12.75" customHeight="1">
      <c r="B50" s="20"/>
      <c r="C50" s="20"/>
      <c r="D50" s="26">
        <v>6</v>
      </c>
      <c r="E50" s="22"/>
      <c r="F50" s="22"/>
      <c r="G50" s="20"/>
      <c r="H50" s="20"/>
      <c r="I50" s="20"/>
      <c r="J50" s="20"/>
      <c r="K50" s="20"/>
      <c r="L50" s="20"/>
      <c r="M50" s="20"/>
      <c r="N50" s="20"/>
      <c r="O50" s="20"/>
    </row>
    <row r="51" spans="2:15" ht="42" customHeight="1" thickBot="1">
      <c r="B51" s="20"/>
      <c r="C51" s="20"/>
      <c r="D51" s="20"/>
      <c r="E51" s="20"/>
      <c r="J51" s="20"/>
      <c r="K51" s="20"/>
      <c r="L51" s="20"/>
      <c r="M51" s="20"/>
      <c r="N51" s="20"/>
      <c r="O51" s="20"/>
    </row>
    <row r="52" spans="2:15" ht="21" customHeight="1" thickBot="1">
      <c r="B52" s="43" t="s">
        <v>69</v>
      </c>
      <c r="C52" s="44"/>
      <c r="D52" s="61" t="s">
        <v>71</v>
      </c>
      <c r="E52" s="154">
        <v>2</v>
      </c>
      <c r="F52" s="62" t="s">
        <v>72</v>
      </c>
      <c r="G52" s="63"/>
      <c r="H52" s="20"/>
      <c r="I52" s="77" t="s">
        <v>73</v>
      </c>
      <c r="J52" s="20"/>
      <c r="K52" s="20"/>
      <c r="L52" s="20"/>
      <c r="M52" s="479" t="s">
        <v>266</v>
      </c>
      <c r="O52" s="20"/>
    </row>
    <row r="53" spans="2:14" ht="21" customHeight="1">
      <c r="B53" s="244"/>
      <c r="C53" s="245"/>
      <c r="D53" s="45" t="s">
        <v>33</v>
      </c>
      <c r="E53" s="45" t="s">
        <v>34</v>
      </c>
      <c r="F53" s="45" t="s">
        <v>45</v>
      </c>
      <c r="G53" s="46" t="s">
        <v>60</v>
      </c>
      <c r="H53" s="20"/>
      <c r="I53" s="78" t="s">
        <v>76</v>
      </c>
      <c r="J53" s="156" t="s">
        <v>74</v>
      </c>
      <c r="K53" s="155" t="s">
        <v>156</v>
      </c>
      <c r="L53" s="20"/>
      <c r="M53" s="480"/>
      <c r="N53" s="483"/>
    </row>
    <row r="54" spans="2:14" ht="24.75" customHeight="1">
      <c r="B54" s="79" t="s">
        <v>62</v>
      </c>
      <c r="C54" s="80"/>
      <c r="D54" s="47">
        <f>c!B21</f>
        <v>11.125</v>
      </c>
      <c r="E54" s="47">
        <f>c!A21</f>
        <v>42</v>
      </c>
      <c r="F54" s="171">
        <f>IF(ft&lt;&gt;G13,"front/rear not same!",ft)</f>
        <v>0.75</v>
      </c>
      <c r="G54" s="49">
        <f>+E52*2</f>
        <v>4</v>
      </c>
      <c r="H54" s="20"/>
      <c r="I54" s="67">
        <f>IF(D54&lt;E54,G54*D54,G54*E54)</f>
        <v>44.5</v>
      </c>
      <c r="J54" s="158">
        <f>IF(D54&lt;E54,E54,D54)</f>
        <v>42</v>
      </c>
      <c r="K54" s="157">
        <f>+(G54-1)*0.125</f>
        <v>0.375</v>
      </c>
      <c r="L54" s="167">
        <f>IF(G13&lt;&gt;H13,"Hand Calc Baffles!","")</f>
      </c>
      <c r="M54" s="481"/>
      <c r="N54" s="484"/>
    </row>
    <row r="55" spans="2:14" ht="24.75" customHeight="1">
      <c r="B55" s="79" t="s">
        <v>44</v>
      </c>
      <c r="C55" s="80"/>
      <c r="D55" s="47">
        <f>+c!B37</f>
        <v>16.5</v>
      </c>
      <c r="E55" s="47">
        <f>+c!A37</f>
        <v>42</v>
      </c>
      <c r="F55" s="48">
        <f>bt</f>
        <v>0.75</v>
      </c>
      <c r="G55" s="50">
        <f>+G54</f>
        <v>4</v>
      </c>
      <c r="H55" s="20"/>
      <c r="I55" s="67">
        <f>IF(D55&lt;E55,G55*D55,G55*E55)</f>
        <v>66</v>
      </c>
      <c r="J55" s="158">
        <f>IF(D55&lt;E55,E55,D55)</f>
        <v>42</v>
      </c>
      <c r="K55" s="157">
        <f>+(G55-1)*0.125</f>
        <v>0.375</v>
      </c>
      <c r="L55" s="20"/>
      <c r="M55" s="481"/>
      <c r="N55" s="484"/>
    </row>
    <row r="56" spans="2:14" ht="24.75" customHeight="1">
      <c r="B56" s="79" t="s">
        <v>61</v>
      </c>
      <c r="C56" s="80"/>
      <c r="D56" s="47">
        <f>c!A29</f>
        <v>16.5</v>
      </c>
      <c r="E56" s="47">
        <f>c!B29</f>
        <v>9.625</v>
      </c>
      <c r="F56" s="48">
        <f>tt</f>
        <v>0.75</v>
      </c>
      <c r="G56" s="50">
        <f>+G54</f>
        <v>4</v>
      </c>
      <c r="H56" s="20"/>
      <c r="I56" s="67">
        <f>IF(D56&lt;E56,G56*D56,G56*E56)</f>
        <v>38.5</v>
      </c>
      <c r="J56" s="158">
        <f>IF(D56&lt;E56,E56,D56)</f>
        <v>16.5</v>
      </c>
      <c r="K56" s="157">
        <f>+(G56-1)*0.125</f>
        <v>0.375</v>
      </c>
      <c r="L56" s="20"/>
      <c r="M56" s="481"/>
      <c r="N56" s="484"/>
    </row>
    <row r="57" spans="2:14" ht="24.75" customHeight="1" thickBot="1">
      <c r="B57" s="79" t="s">
        <v>49</v>
      </c>
      <c r="C57" s="80"/>
      <c r="D57" s="47">
        <f>IF(E14=0,C13,C14)</f>
        <v>40.5</v>
      </c>
      <c r="E57" s="47">
        <f>IF(E14=0,B13,B14)</f>
        <v>9.625</v>
      </c>
      <c r="F57" s="51">
        <f>IF(E14=0,D13,D14)</f>
        <v>0.75</v>
      </c>
      <c r="G57" s="52">
        <f>+(E13+E14)*2</f>
        <v>2</v>
      </c>
      <c r="H57" s="20"/>
      <c r="I57" s="68">
        <f>IF(D57&lt;E57,G57*D57,G57*E57)</f>
        <v>19.25</v>
      </c>
      <c r="J57" s="159">
        <f>IF(D57&lt;E57,E57,D57)</f>
        <v>40.5</v>
      </c>
      <c r="K57" s="160">
        <f>+(G57-1)*0.125</f>
        <v>0.125</v>
      </c>
      <c r="L57" s="20"/>
      <c r="M57" s="481"/>
      <c r="N57" s="484"/>
    </row>
    <row r="58" spans="2:14" ht="14.25" customHeight="1">
      <c r="B58" s="53"/>
      <c r="C58" s="54"/>
      <c r="D58" s="55"/>
      <c r="E58" s="55"/>
      <c r="F58" s="55"/>
      <c r="G58" s="56"/>
      <c r="H58" s="20"/>
      <c r="I58" s="70"/>
      <c r="J58" s="19"/>
      <c r="K58" s="20"/>
      <c r="L58" s="20"/>
      <c r="M58" s="481"/>
      <c r="N58" s="484"/>
    </row>
    <row r="59" spans="2:14" ht="18" customHeight="1" thickBot="1">
      <c r="B59" s="57"/>
      <c r="C59" s="72" t="s">
        <v>48</v>
      </c>
      <c r="D59" s="58">
        <f>+((((D54*E54)+(D56*E56)+(D55*E55))*G54)+(E57*D57*G57))/144</f>
        <v>42.0546875</v>
      </c>
      <c r="E59" s="71" t="s">
        <v>65</v>
      </c>
      <c r="F59" s="59"/>
      <c r="G59" s="60"/>
      <c r="H59" s="293" t="s">
        <v>168</v>
      </c>
      <c r="J59" s="20"/>
      <c r="K59" s="20"/>
      <c r="L59" s="20"/>
      <c r="M59" s="482"/>
      <c r="N59" s="485"/>
    </row>
    <row r="60" spans="2:15" ht="33" customHeight="1" thickBot="1">
      <c r="B60" s="20"/>
      <c r="C60" s="20"/>
      <c r="D60" s="20"/>
      <c r="E60" s="294"/>
      <c r="F60" s="20"/>
      <c r="G60" s="20"/>
      <c r="H60" s="20"/>
      <c r="I60" s="20"/>
      <c r="J60" s="19"/>
      <c r="K60" s="20"/>
      <c r="L60" s="20"/>
      <c r="M60" s="20"/>
      <c r="O60" s="20"/>
    </row>
    <row r="61" spans="2:15" ht="24" customHeight="1" thickBot="1">
      <c r="B61" s="73" t="s">
        <v>274</v>
      </c>
      <c r="C61" s="69"/>
      <c r="D61" s="163">
        <f>+D54/2</f>
        <v>5.5625</v>
      </c>
      <c r="F61" s="19"/>
      <c r="G61" s="496" t="s">
        <v>161</v>
      </c>
      <c r="H61" s="497"/>
      <c r="I61" s="497"/>
      <c r="J61" s="497"/>
      <c r="K61" s="497"/>
      <c r="L61" s="497"/>
      <c r="M61" s="497"/>
      <c r="O61" s="20"/>
    </row>
    <row r="62" spans="2:15" ht="22.5" customHeight="1" thickBot="1">
      <c r="B62" s="20"/>
      <c r="C62" s="20"/>
      <c r="D62" s="270" t="s">
        <v>272</v>
      </c>
      <c r="E62" s="170" t="s">
        <v>273</v>
      </c>
      <c r="F62" s="170" t="s">
        <v>38</v>
      </c>
      <c r="G62" s="497"/>
      <c r="H62" s="497"/>
      <c r="I62" s="497"/>
      <c r="J62" s="497"/>
      <c r="K62" s="497"/>
      <c r="L62" s="497"/>
      <c r="M62" s="497"/>
      <c r="O62" s="20"/>
    </row>
    <row r="63" spans="2:15" ht="24" customHeight="1">
      <c r="B63" s="264" t="s">
        <v>269</v>
      </c>
      <c r="C63" s="267"/>
      <c r="D63" s="250">
        <f>+H18</f>
        <v>3</v>
      </c>
      <c r="E63" s="256">
        <f>+G18</f>
        <v>39</v>
      </c>
      <c r="F63" s="169">
        <f>IF(C6&lt;&gt;0,+C6,"")</f>
        <v>1</v>
      </c>
      <c r="G63" s="263"/>
      <c r="H63" s="263"/>
      <c r="I63" s="263"/>
      <c r="J63" s="263"/>
      <c r="K63" s="263"/>
      <c r="L63" s="263"/>
      <c r="M63" s="263"/>
      <c r="O63" s="20"/>
    </row>
    <row r="64" spans="2:15" ht="25.5" customHeight="1" thickBot="1">
      <c r="B64" s="265" t="s">
        <v>270</v>
      </c>
      <c r="C64" s="268"/>
      <c r="D64" s="251">
        <f>+H19</f>
        <v>8</v>
      </c>
      <c r="E64" s="257">
        <f>+G19</f>
        <v>34</v>
      </c>
      <c r="F64" s="169">
        <f>IF(C7&lt;&gt;0,+C7,"")</f>
      </c>
      <c r="G64" s="263"/>
      <c r="J64" s="32" t="s">
        <v>33</v>
      </c>
      <c r="K64" s="31" t="s">
        <v>34</v>
      </c>
      <c r="L64" s="33" t="s">
        <v>35</v>
      </c>
      <c r="M64" s="263"/>
      <c r="O64" s="20"/>
    </row>
    <row r="65" spans="2:15" ht="25.5" customHeight="1" thickBot="1">
      <c r="B65" s="266" t="s">
        <v>271</v>
      </c>
      <c r="C65" s="269"/>
      <c r="D65" s="252">
        <f>+H20</f>
        <v>24</v>
      </c>
      <c r="E65" s="258">
        <f>+G20</f>
        <v>18</v>
      </c>
      <c r="F65" s="169">
        <f>IF(C8&lt;&gt;0,+C8,"")</f>
      </c>
      <c r="H65" s="73" t="s">
        <v>141</v>
      </c>
      <c r="I65" s="197"/>
      <c r="J65" s="159">
        <f>+B18-J13-J13</f>
        <v>9.625</v>
      </c>
      <c r="K65" s="159">
        <f>+C18-I13-I13</f>
        <v>40.5</v>
      </c>
      <c r="L65" s="196">
        <f>+D18-H13-G13</f>
        <v>16.5</v>
      </c>
      <c r="O65" s="20"/>
    </row>
    <row r="66" spans="2:15" ht="19.5" customHeight="1">
      <c r="B66" s="20"/>
      <c r="C66" s="20"/>
      <c r="D66" s="20"/>
      <c r="E66" s="19"/>
      <c r="F66" s="19"/>
      <c r="O66" s="20"/>
    </row>
    <row r="67" spans="3:15" ht="19.5" customHeight="1">
      <c r="C67" s="20"/>
      <c r="O67" s="20"/>
    </row>
    <row r="68" spans="2:15" ht="19.5" customHeight="1">
      <c r="B68" s="253"/>
      <c r="C68" s="253"/>
      <c r="D68" s="254"/>
      <c r="E68" s="255"/>
      <c r="L68" s="20"/>
      <c r="M68" s="20"/>
      <c r="N68" s="20"/>
      <c r="O68" s="20"/>
    </row>
    <row r="69" spans="2:15" ht="19.5" customHeight="1">
      <c r="B69" s="253"/>
      <c r="C69" s="253"/>
      <c r="D69" s="254"/>
      <c r="E69" s="255"/>
      <c r="F69" s="19"/>
      <c r="G69" s="19"/>
      <c r="H69" s="19"/>
      <c r="I69" s="19"/>
      <c r="J69" s="20"/>
      <c r="K69" s="20"/>
      <c r="L69" s="20"/>
      <c r="M69" s="20"/>
      <c r="N69" s="20"/>
      <c r="O69" s="20"/>
    </row>
    <row r="70" spans="2:15" ht="19.5" customHeight="1">
      <c r="B70" s="253"/>
      <c r="C70" s="253"/>
      <c r="D70" s="254"/>
      <c r="E70" s="255"/>
      <c r="F70" s="20"/>
      <c r="G70" s="20"/>
      <c r="H70" s="20"/>
      <c r="I70" s="20"/>
      <c r="J70" s="20"/>
      <c r="K70" s="20"/>
      <c r="L70" s="20"/>
      <c r="M70" s="20"/>
      <c r="N70" s="20"/>
      <c r="O70" s="20"/>
    </row>
    <row r="71" spans="2:15" ht="12.75" customHeight="1">
      <c r="B71" s="255"/>
      <c r="C71" s="255"/>
      <c r="D71" s="255"/>
      <c r="E71" s="255"/>
      <c r="F71" s="20"/>
      <c r="G71" s="20"/>
      <c r="H71" s="20"/>
      <c r="I71" s="20"/>
      <c r="J71" s="20"/>
      <c r="K71" s="20"/>
      <c r="L71" s="20"/>
      <c r="M71" s="20"/>
      <c r="N71" s="20"/>
      <c r="O71" s="20"/>
    </row>
    <row r="72" spans="2:15" ht="12.75" customHeight="1">
      <c r="B72" s="20"/>
      <c r="C72" s="20"/>
      <c r="D72" s="20"/>
      <c r="E72" s="20"/>
      <c r="F72" s="20"/>
      <c r="G72" s="20"/>
      <c r="H72" s="20"/>
      <c r="I72" s="20"/>
      <c r="J72" s="20"/>
      <c r="K72" s="20"/>
      <c r="L72" s="20"/>
      <c r="M72" s="20"/>
      <c r="N72" s="20"/>
      <c r="O72" s="20"/>
    </row>
    <row r="73" spans="2:15" ht="12.75" customHeight="1">
      <c r="B73" s="20"/>
      <c r="C73" s="20"/>
      <c r="D73" s="20"/>
      <c r="E73" s="20"/>
      <c r="F73" s="20"/>
      <c r="G73" s="20"/>
      <c r="H73" s="20"/>
      <c r="I73" s="20"/>
      <c r="J73" s="20"/>
      <c r="K73" s="20"/>
      <c r="L73" s="20"/>
      <c r="M73" s="20"/>
      <c r="N73" s="20"/>
      <c r="O73" s="20"/>
    </row>
  </sheetData>
  <sheetProtection sheet="1" objects="1" scenarios="1"/>
  <mergeCells count="2">
    <mergeCell ref="B16:D16"/>
    <mergeCell ref="G61:M62"/>
  </mergeCells>
  <printOptions horizontalCentered="1"/>
  <pageMargins left="0.39" right="0.3" top="0.48" bottom="0.34" header="0.48" footer="0.34"/>
  <pageSetup blackAndWhite="1" fitToHeight="1" fitToWidth="1" horizontalDpi="600" verticalDpi="600" orientation="portrait" scale="64" r:id="rId4"/>
  <drawing r:id="rId3"/>
  <legacyDrawing r:id="rId2"/>
</worksheet>
</file>

<file path=xl/worksheets/sheet2.xml><?xml version="1.0" encoding="utf-8"?>
<worksheet xmlns="http://schemas.openxmlformats.org/spreadsheetml/2006/main" xmlns:r="http://schemas.openxmlformats.org/officeDocument/2006/relationships">
  <sheetPr>
    <tabColor indexed="16"/>
    <pageSetUpPr fitToPage="1"/>
  </sheetPr>
  <dimension ref="A1:U147"/>
  <sheetViews>
    <sheetView workbookViewId="0" topLeftCell="A1">
      <selection activeCell="K1" sqref="K1"/>
    </sheetView>
  </sheetViews>
  <sheetFormatPr defaultColWidth="9.140625" defaultRowHeight="12.75"/>
  <cols>
    <col min="1" max="1" width="9.140625" style="88" customWidth="1"/>
    <col min="2" max="2" width="9.140625" style="89" customWidth="1"/>
    <col min="3" max="3" width="9.28125" style="89" bestFit="1" customWidth="1"/>
    <col min="4" max="4" width="10.00390625" style="89" customWidth="1"/>
    <col min="5" max="5" width="9.421875" style="89" bestFit="1" customWidth="1"/>
    <col min="6" max="6" width="10.140625" style="89" customWidth="1"/>
    <col min="7" max="7" width="9.140625" style="89" customWidth="1"/>
    <col min="8" max="9" width="11.00390625" style="89" bestFit="1" customWidth="1"/>
    <col min="10" max="10" width="9.140625" style="89" customWidth="1"/>
    <col min="11" max="11" width="8.140625" style="89" customWidth="1"/>
    <col min="12" max="12" width="11.00390625" style="89" customWidth="1"/>
    <col min="13" max="16384" width="9.140625" style="89" customWidth="1"/>
  </cols>
  <sheetData>
    <row r="1" spans="1:21" ht="12.75">
      <c r="A1" s="106"/>
      <c r="B1" s="106"/>
      <c r="C1" s="361"/>
      <c r="D1" s="314"/>
      <c r="E1" s="88"/>
      <c r="F1" s="88"/>
      <c r="G1" s="315"/>
      <c r="H1" s="316"/>
      <c r="I1" s="316"/>
      <c r="J1" s="316"/>
      <c r="K1" s="316"/>
      <c r="L1" s="316"/>
      <c r="M1" s="316"/>
      <c r="N1" s="317"/>
      <c r="O1" s="88"/>
      <c r="P1" s="88"/>
      <c r="Q1" s="88"/>
      <c r="R1" s="88"/>
      <c r="S1" s="88"/>
      <c r="T1" s="88"/>
      <c r="U1" s="88"/>
    </row>
    <row r="2" spans="2:21" ht="13.5" thickBot="1">
      <c r="B2" s="88"/>
      <c r="C2" s="88"/>
      <c r="D2" s="88"/>
      <c r="E2" s="88"/>
      <c r="F2" s="88"/>
      <c r="G2" s="318"/>
      <c r="H2" s="106"/>
      <c r="I2" s="106"/>
      <c r="J2" s="106"/>
      <c r="K2" s="106"/>
      <c r="L2" s="106"/>
      <c r="M2" s="106"/>
      <c r="N2" s="319"/>
      <c r="O2" s="88"/>
      <c r="P2" s="88"/>
      <c r="Q2" s="88"/>
      <c r="R2" s="88"/>
      <c r="S2" s="88"/>
      <c r="T2" s="88"/>
      <c r="U2" s="88"/>
    </row>
    <row r="3" spans="1:21" ht="13.5" thickBot="1">
      <c r="A3" s="90" t="s">
        <v>115</v>
      </c>
      <c r="B3" s="91"/>
      <c r="C3" s="88"/>
      <c r="D3" s="90" t="s">
        <v>114</v>
      </c>
      <c r="E3" s="91"/>
      <c r="F3" s="88"/>
      <c r="G3" s="318"/>
      <c r="H3" s="106"/>
      <c r="I3" s="106"/>
      <c r="J3" s="106"/>
      <c r="K3" s="106"/>
      <c r="L3" s="106"/>
      <c r="M3" s="106"/>
      <c r="N3" s="319"/>
      <c r="O3" s="88"/>
      <c r="P3" s="88"/>
      <c r="Q3" s="88"/>
      <c r="R3" s="88"/>
      <c r="S3" s="88"/>
      <c r="T3" s="88"/>
      <c r="U3" s="88"/>
    </row>
    <row r="4" spans="1:21" ht="12.75">
      <c r="A4" s="93" t="s">
        <v>52</v>
      </c>
      <c r="B4" s="94" t="s">
        <v>53</v>
      </c>
      <c r="C4" s="95"/>
      <c r="D4" s="93" t="s">
        <v>68</v>
      </c>
      <c r="E4" s="94" t="s">
        <v>97</v>
      </c>
      <c r="F4" s="88"/>
      <c r="G4" s="318"/>
      <c r="H4" s="90" t="s">
        <v>113</v>
      </c>
      <c r="I4" s="92"/>
      <c r="J4" s="92"/>
      <c r="K4" s="92"/>
      <c r="L4" s="92"/>
      <c r="M4" s="91"/>
      <c r="N4" s="319"/>
      <c r="O4" s="88"/>
      <c r="P4" s="88"/>
      <c r="Q4" s="88"/>
      <c r="R4" s="88"/>
      <c r="S4" s="88"/>
      <c r="T4" s="88"/>
      <c r="U4" s="88"/>
    </row>
    <row r="5" spans="1:21" ht="13.5" thickBot="1">
      <c r="A5" s="85">
        <v>1</v>
      </c>
      <c r="B5" s="100">
        <f>+A5*28.32</f>
        <v>28.32</v>
      </c>
      <c r="C5" s="88"/>
      <c r="D5" s="87">
        <v>2.54</v>
      </c>
      <c r="E5" s="331">
        <f>+D5/2.54</f>
        <v>1</v>
      </c>
      <c r="F5" s="88"/>
      <c r="G5" s="318"/>
      <c r="H5" s="96" t="s">
        <v>77</v>
      </c>
      <c r="I5" s="97"/>
      <c r="J5" s="97"/>
      <c r="K5" s="98" t="s">
        <v>87</v>
      </c>
      <c r="L5" s="97" t="s">
        <v>85</v>
      </c>
      <c r="M5" s="99" t="s">
        <v>86</v>
      </c>
      <c r="N5" s="319"/>
      <c r="O5" s="88"/>
      <c r="P5" s="88"/>
      <c r="Q5" s="88"/>
      <c r="R5" s="88"/>
      <c r="S5" s="88"/>
      <c r="T5" s="88"/>
      <c r="U5" s="88"/>
    </row>
    <row r="6" spans="2:21" ht="13.5" thickBot="1">
      <c r="B6" s="88"/>
      <c r="C6" s="88"/>
      <c r="D6" s="88"/>
      <c r="E6" s="88"/>
      <c r="F6" s="88"/>
      <c r="G6" s="318"/>
      <c r="H6" s="101" t="s">
        <v>79</v>
      </c>
      <c r="I6" s="102"/>
      <c r="J6" s="103"/>
      <c r="K6" s="24">
        <v>2</v>
      </c>
      <c r="L6" s="24">
        <v>1</v>
      </c>
      <c r="M6" s="104">
        <f>+L6+K6</f>
        <v>3</v>
      </c>
      <c r="N6" s="328" t="s">
        <v>88</v>
      </c>
      <c r="O6" s="88"/>
      <c r="P6" s="88"/>
      <c r="Q6" s="88"/>
      <c r="R6" s="88"/>
      <c r="S6" s="88"/>
      <c r="T6" s="88"/>
      <c r="U6" s="88"/>
    </row>
    <row r="7" spans="1:21" ht="13.5" thickBot="1">
      <c r="A7" s="109">
        <f>+B7/28.32</f>
        <v>1</v>
      </c>
      <c r="B7" s="86">
        <v>28.32</v>
      </c>
      <c r="C7" s="88"/>
      <c r="D7" s="292">
        <f>+E7*2.54</f>
        <v>2.54</v>
      </c>
      <c r="E7" s="291">
        <v>1</v>
      </c>
      <c r="F7" s="88"/>
      <c r="G7" s="318"/>
      <c r="H7" s="105"/>
      <c r="I7" s="106"/>
      <c r="J7" s="106"/>
      <c r="K7" s="107"/>
      <c r="L7" s="107"/>
      <c r="M7" s="108"/>
      <c r="N7" s="328"/>
      <c r="O7" s="88"/>
      <c r="P7" s="88"/>
      <c r="Q7" s="88"/>
      <c r="R7" s="88"/>
      <c r="S7" s="88"/>
      <c r="T7" s="88"/>
      <c r="U7" s="88"/>
    </row>
    <row r="8" spans="1:21" ht="12.75">
      <c r="A8" s="112"/>
      <c r="B8" s="113"/>
      <c r="C8" s="88"/>
      <c r="D8" s="114" t="s">
        <v>91</v>
      </c>
      <c r="E8" s="114"/>
      <c r="F8" s="88"/>
      <c r="G8" s="318"/>
      <c r="H8" s="105" t="s">
        <v>80</v>
      </c>
      <c r="I8" s="110"/>
      <c r="J8" s="111"/>
      <c r="K8" s="24">
        <v>2</v>
      </c>
      <c r="L8" s="24">
        <v>1</v>
      </c>
      <c r="M8" s="104">
        <f>(K8*L8)/(K8+L8)</f>
        <v>0.6666666666666666</v>
      </c>
      <c r="N8" s="328" t="s">
        <v>89</v>
      </c>
      <c r="O8" s="88"/>
      <c r="P8" s="88"/>
      <c r="Q8" s="88"/>
      <c r="R8" s="88"/>
      <c r="S8" s="88"/>
      <c r="T8" s="88"/>
      <c r="U8" s="88"/>
    </row>
    <row r="9" spans="2:21" ht="13.5" thickBot="1">
      <c r="B9" s="112"/>
      <c r="C9" s="113"/>
      <c r="D9" s="88"/>
      <c r="E9" s="88"/>
      <c r="F9" s="88"/>
      <c r="G9" s="329"/>
      <c r="H9" s="115"/>
      <c r="I9" s="106"/>
      <c r="J9" s="106"/>
      <c r="K9" s="477"/>
      <c r="L9" s="477"/>
      <c r="M9" s="108"/>
      <c r="N9" s="328"/>
      <c r="O9" s="88"/>
      <c r="P9" s="88"/>
      <c r="Q9" s="88"/>
      <c r="R9" s="88"/>
      <c r="S9" s="88"/>
      <c r="T9" s="88"/>
      <c r="U9" s="88"/>
    </row>
    <row r="10" spans="1:21" ht="13.5" thickBot="1">
      <c r="A10" s="315"/>
      <c r="B10" s="316"/>
      <c r="C10" s="316"/>
      <c r="D10" s="316"/>
      <c r="E10" s="316"/>
      <c r="F10" s="316"/>
      <c r="G10" s="329"/>
      <c r="H10" s="116" t="s">
        <v>81</v>
      </c>
      <c r="I10" s="117"/>
      <c r="J10" s="118"/>
      <c r="K10" s="478">
        <v>2</v>
      </c>
      <c r="L10" s="478">
        <v>1</v>
      </c>
      <c r="M10" s="474">
        <f>+L10+K10</f>
        <v>3</v>
      </c>
      <c r="N10" s="328" t="s">
        <v>90</v>
      </c>
      <c r="O10" s="88"/>
      <c r="P10" s="88"/>
      <c r="Q10" s="88"/>
      <c r="R10" s="88"/>
      <c r="S10" s="88"/>
      <c r="T10" s="88"/>
      <c r="U10" s="88"/>
    </row>
    <row r="11" spans="2:21" ht="14.25" customHeight="1">
      <c r="B11" s="449" t="s">
        <v>160</v>
      </c>
      <c r="C11" s="463"/>
      <c r="D11" s="464">
        <v>1130</v>
      </c>
      <c r="E11" s="106"/>
      <c r="F11" s="106"/>
      <c r="G11" s="318"/>
      <c r="H11" s="106"/>
      <c r="I11" s="106"/>
      <c r="J11" s="106"/>
      <c r="K11" s="107"/>
      <c r="L11" s="107"/>
      <c r="M11" s="106"/>
      <c r="N11" s="330"/>
      <c r="O11" s="88"/>
      <c r="P11" s="88"/>
      <c r="Q11" s="88"/>
      <c r="R11" s="88"/>
      <c r="S11" s="88"/>
      <c r="T11" s="88"/>
      <c r="U11" s="88"/>
    </row>
    <row r="12" spans="1:21" ht="13.5" thickBot="1">
      <c r="A12" s="318"/>
      <c r="B12" s="106"/>
      <c r="C12" s="106"/>
      <c r="D12" s="106"/>
      <c r="E12" s="106"/>
      <c r="F12" s="106"/>
      <c r="G12" s="318"/>
      <c r="H12" s="106"/>
      <c r="I12" s="106"/>
      <c r="J12" s="106"/>
      <c r="K12" s="107"/>
      <c r="L12" s="107"/>
      <c r="M12" s="106"/>
      <c r="N12" s="330"/>
      <c r="O12" s="88"/>
      <c r="P12" s="88"/>
      <c r="Q12" s="88"/>
      <c r="R12" s="88"/>
      <c r="S12" s="88"/>
      <c r="T12" s="88"/>
      <c r="U12" s="88"/>
    </row>
    <row r="13" spans="1:21" ht="13.5" thickBot="1">
      <c r="A13" s="318"/>
      <c r="B13" s="90" t="s">
        <v>116</v>
      </c>
      <c r="C13" s="119"/>
      <c r="D13" s="119"/>
      <c r="E13" s="91"/>
      <c r="F13" s="106"/>
      <c r="G13" s="318"/>
      <c r="H13" s="106"/>
      <c r="I13" s="106"/>
      <c r="J13" s="106"/>
      <c r="K13" s="107"/>
      <c r="L13" s="107"/>
      <c r="M13" s="106"/>
      <c r="N13" s="330"/>
      <c r="O13" s="88"/>
      <c r="P13" s="88"/>
      <c r="Q13" s="88"/>
      <c r="R13" s="88"/>
      <c r="S13" s="88"/>
      <c r="T13" s="88"/>
      <c r="U13" s="88"/>
    </row>
    <row r="14" spans="1:21" ht="12.75">
      <c r="A14" s="318"/>
      <c r="B14" s="120"/>
      <c r="C14" s="121"/>
      <c r="D14" s="122" t="s">
        <v>54</v>
      </c>
      <c r="E14" s="123"/>
      <c r="F14" s="106"/>
      <c r="G14" s="318"/>
      <c r="H14" s="128" t="s">
        <v>78</v>
      </c>
      <c r="I14" s="129"/>
      <c r="J14" s="129"/>
      <c r="K14" s="130" t="s">
        <v>87</v>
      </c>
      <c r="L14" s="129" t="s">
        <v>85</v>
      </c>
      <c r="M14" s="131" t="s">
        <v>86</v>
      </c>
      <c r="N14" s="330"/>
      <c r="O14" s="88"/>
      <c r="P14" s="88"/>
      <c r="Q14" s="88"/>
      <c r="R14" s="88"/>
      <c r="S14" s="88"/>
      <c r="T14" s="88"/>
      <c r="U14" s="88"/>
    </row>
    <row r="15" spans="1:21" ht="12.75">
      <c r="A15" s="318"/>
      <c r="B15" s="124" t="s">
        <v>55</v>
      </c>
      <c r="C15" s="125" t="s">
        <v>56</v>
      </c>
      <c r="D15" s="126" t="s">
        <v>57</v>
      </c>
      <c r="E15" s="127"/>
      <c r="F15" s="106"/>
      <c r="G15" s="318"/>
      <c r="H15" s="101" t="s">
        <v>82</v>
      </c>
      <c r="I15" s="102"/>
      <c r="J15" s="103"/>
      <c r="K15" s="24">
        <v>2</v>
      </c>
      <c r="L15" s="24">
        <v>1</v>
      </c>
      <c r="M15" s="104">
        <f>(K15*L15)/(K15+L15)</f>
        <v>0.6666666666666666</v>
      </c>
      <c r="N15" s="328" t="s">
        <v>88</v>
      </c>
      <c r="O15" s="88"/>
      <c r="P15" s="88"/>
      <c r="Q15" s="88"/>
      <c r="R15" s="88"/>
      <c r="S15" s="88"/>
      <c r="T15" s="88"/>
      <c r="U15" s="88"/>
    </row>
    <row r="16" spans="1:21" ht="12.75">
      <c r="A16" s="318"/>
      <c r="B16" s="132"/>
      <c r="C16" s="133">
        <v>20</v>
      </c>
      <c r="D16" s="134">
        <f>+(SoS/C16)</f>
        <v>56.5</v>
      </c>
      <c r="E16" s="135" t="s">
        <v>58</v>
      </c>
      <c r="F16" s="106"/>
      <c r="G16" s="318"/>
      <c r="H16" s="115"/>
      <c r="I16" s="106"/>
      <c r="J16" s="106"/>
      <c r="K16" s="107"/>
      <c r="L16" s="107"/>
      <c r="M16" s="475"/>
      <c r="N16" s="328"/>
      <c r="O16" s="88"/>
      <c r="P16" s="88"/>
      <c r="Q16" s="88"/>
      <c r="R16" s="88"/>
      <c r="S16" s="88"/>
      <c r="T16" s="88"/>
      <c r="U16" s="88"/>
    </row>
    <row r="17" spans="1:21" ht="12.75">
      <c r="A17" s="318"/>
      <c r="B17" s="136">
        <v>1</v>
      </c>
      <c r="C17" s="137">
        <f>+C16*2</f>
        <v>40</v>
      </c>
      <c r="D17" s="134">
        <f>+(SoS/C17)</f>
        <v>28.25</v>
      </c>
      <c r="E17" s="139" t="s">
        <v>58</v>
      </c>
      <c r="F17" s="106"/>
      <c r="G17" s="318"/>
      <c r="H17" s="105" t="s">
        <v>83</v>
      </c>
      <c r="I17" s="110"/>
      <c r="J17" s="111"/>
      <c r="K17" s="24">
        <v>2</v>
      </c>
      <c r="L17" s="24">
        <v>1</v>
      </c>
      <c r="M17" s="104">
        <f>+L17+K17</f>
        <v>3</v>
      </c>
      <c r="N17" s="328" t="s">
        <v>89</v>
      </c>
      <c r="O17" s="88"/>
      <c r="P17" s="88"/>
      <c r="Q17" s="88"/>
      <c r="R17" s="88"/>
      <c r="S17" s="88"/>
      <c r="T17" s="88"/>
      <c r="U17" s="88"/>
    </row>
    <row r="18" spans="1:21" ht="12.75">
      <c r="A18" s="318"/>
      <c r="B18" s="136">
        <v>2</v>
      </c>
      <c r="C18" s="137">
        <f aca="true" t="shared" si="0" ref="C18:C26">+C17*2</f>
        <v>80</v>
      </c>
      <c r="D18" s="134">
        <f>+(SoS/C18)</f>
        <v>14.125</v>
      </c>
      <c r="E18" s="139" t="s">
        <v>58</v>
      </c>
      <c r="F18" s="106"/>
      <c r="G18" s="318"/>
      <c r="H18" s="115"/>
      <c r="I18" s="106"/>
      <c r="J18" s="106"/>
      <c r="K18" s="477"/>
      <c r="L18" s="477"/>
      <c r="M18" s="475"/>
      <c r="N18" s="328"/>
      <c r="O18" s="88"/>
      <c r="P18" s="88"/>
      <c r="Q18" s="88"/>
      <c r="R18" s="88"/>
      <c r="S18" s="88"/>
      <c r="T18" s="88"/>
      <c r="U18" s="88"/>
    </row>
    <row r="19" spans="1:21" ht="13.5" thickBot="1">
      <c r="A19" s="318"/>
      <c r="B19" s="136">
        <v>3</v>
      </c>
      <c r="C19" s="137">
        <f t="shared" si="0"/>
        <v>160</v>
      </c>
      <c r="D19" s="134">
        <f>+(SoS/C19)</f>
        <v>7.0625</v>
      </c>
      <c r="E19" s="139" t="s">
        <v>58</v>
      </c>
      <c r="F19" s="106"/>
      <c r="G19" s="318"/>
      <c r="H19" s="116" t="s">
        <v>84</v>
      </c>
      <c r="I19" s="117"/>
      <c r="J19" s="118"/>
      <c r="K19" s="478">
        <v>2</v>
      </c>
      <c r="L19" s="478">
        <v>1</v>
      </c>
      <c r="M19" s="474">
        <f>(K19*L19)/(K19+L19)</f>
        <v>0.6666666666666666</v>
      </c>
      <c r="N19" s="328" t="s">
        <v>90</v>
      </c>
      <c r="O19" s="88"/>
      <c r="P19" s="88"/>
      <c r="Q19" s="88"/>
      <c r="R19" s="88"/>
      <c r="S19" s="88"/>
      <c r="T19" s="88"/>
      <c r="U19" s="88"/>
    </row>
    <row r="20" spans="1:21" ht="12.75">
      <c r="A20" s="318"/>
      <c r="B20" s="136">
        <v>4</v>
      </c>
      <c r="C20" s="137">
        <f t="shared" si="0"/>
        <v>320</v>
      </c>
      <c r="D20" s="134">
        <f>+(SoS/C20)</f>
        <v>3.53125</v>
      </c>
      <c r="E20" s="139" t="s">
        <v>58</v>
      </c>
      <c r="F20" s="106"/>
      <c r="G20" s="318"/>
      <c r="H20" s="106"/>
      <c r="I20" s="106"/>
      <c r="J20" s="106"/>
      <c r="K20" s="107"/>
      <c r="L20" s="107"/>
      <c r="M20" s="106"/>
      <c r="N20" s="319"/>
      <c r="O20" s="88"/>
      <c r="P20" s="88"/>
      <c r="Q20" s="88"/>
      <c r="R20" s="88"/>
      <c r="S20" s="88"/>
      <c r="T20" s="88"/>
      <c r="U20" s="88"/>
    </row>
    <row r="21" spans="1:21" ht="12.75">
      <c r="A21" s="318"/>
      <c r="B21" s="136">
        <v>5</v>
      </c>
      <c r="C21" s="137">
        <f t="shared" si="0"/>
        <v>640</v>
      </c>
      <c r="D21" s="138">
        <v>23</v>
      </c>
      <c r="E21" s="140" t="s">
        <v>59</v>
      </c>
      <c r="F21" s="106"/>
      <c r="G21" s="318"/>
      <c r="H21" s="106"/>
      <c r="I21" s="106"/>
      <c r="J21" s="106"/>
      <c r="K21" s="107"/>
      <c r="L21" s="107"/>
      <c r="M21" s="106"/>
      <c r="N21" s="319"/>
      <c r="O21" s="88"/>
      <c r="P21" s="88"/>
      <c r="Q21" s="88"/>
      <c r="R21" s="88"/>
      <c r="S21" s="88"/>
      <c r="T21" s="88"/>
      <c r="U21" s="88"/>
    </row>
    <row r="22" spans="1:21" ht="12.75">
      <c r="A22" s="318"/>
      <c r="B22" s="136">
        <v>6</v>
      </c>
      <c r="C22" s="137">
        <f t="shared" si="0"/>
        <v>1280</v>
      </c>
      <c r="D22" s="138">
        <f>+(SoS/C22)*12</f>
        <v>10.59375</v>
      </c>
      <c r="E22" s="140" t="s">
        <v>59</v>
      </c>
      <c r="F22" s="106"/>
      <c r="G22" s="318"/>
      <c r="H22" s="106"/>
      <c r="I22" s="106"/>
      <c r="J22" s="106"/>
      <c r="K22" s="106"/>
      <c r="L22" s="106"/>
      <c r="M22" s="106"/>
      <c r="N22" s="319"/>
      <c r="O22" s="88"/>
      <c r="P22" s="88"/>
      <c r="Q22" s="88"/>
      <c r="R22" s="88"/>
      <c r="S22" s="88"/>
      <c r="T22" s="88"/>
      <c r="U22" s="88"/>
    </row>
    <row r="23" spans="1:21" ht="13.5" thickBot="1">
      <c r="A23" s="318"/>
      <c r="B23" s="136">
        <v>7</v>
      </c>
      <c r="C23" s="137">
        <v>2500</v>
      </c>
      <c r="D23" s="138">
        <f>+(SoS/C23)*12</f>
        <v>5.424</v>
      </c>
      <c r="E23" s="140" t="s">
        <v>59</v>
      </c>
      <c r="F23" s="106"/>
      <c r="G23" s="318"/>
      <c r="H23" s="106"/>
      <c r="I23" s="106"/>
      <c r="J23" s="106"/>
      <c r="K23" s="106"/>
      <c r="L23" s="106"/>
      <c r="M23" s="106"/>
      <c r="N23" s="319"/>
      <c r="O23" s="88"/>
      <c r="P23" s="88"/>
      <c r="Q23" s="88"/>
      <c r="R23" s="88"/>
      <c r="S23" s="88"/>
      <c r="T23" s="88"/>
      <c r="U23" s="88"/>
    </row>
    <row r="24" spans="1:21" ht="12.75">
      <c r="A24" s="318"/>
      <c r="B24" s="136">
        <v>8</v>
      </c>
      <c r="C24" s="137">
        <f t="shared" si="0"/>
        <v>5000</v>
      </c>
      <c r="D24" s="138">
        <f>+(SoS/C24)*12</f>
        <v>2.712</v>
      </c>
      <c r="E24" s="140" t="s">
        <v>59</v>
      </c>
      <c r="F24" s="106"/>
      <c r="G24" s="315"/>
      <c r="H24" s="316"/>
      <c r="I24" s="316"/>
      <c r="J24" s="316"/>
      <c r="K24" s="316"/>
      <c r="L24" s="316"/>
      <c r="M24" s="316"/>
      <c r="N24" s="317"/>
      <c r="O24" s="88"/>
      <c r="P24" s="88"/>
      <c r="Q24" s="88"/>
      <c r="R24" s="88"/>
      <c r="S24" s="88"/>
      <c r="T24" s="88"/>
      <c r="U24" s="88"/>
    </row>
    <row r="25" spans="1:19" ht="12.75">
      <c r="A25" s="318"/>
      <c r="B25" s="136">
        <v>9</v>
      </c>
      <c r="C25" s="137">
        <f t="shared" si="0"/>
        <v>10000</v>
      </c>
      <c r="D25" s="138">
        <f>+(SoS/C25)*12</f>
        <v>1.356</v>
      </c>
      <c r="E25" s="140" t="s">
        <v>59</v>
      </c>
      <c r="F25" s="106"/>
      <c r="G25" s="318"/>
      <c r="H25" s="88"/>
      <c r="I25" s="88"/>
      <c r="J25" s="88"/>
      <c r="K25" s="88"/>
      <c r="L25" s="88"/>
      <c r="M25" s="106"/>
      <c r="N25" s="319"/>
      <c r="O25" s="88"/>
      <c r="P25" s="88"/>
      <c r="Q25" s="88"/>
      <c r="R25" s="88"/>
      <c r="S25" s="88"/>
    </row>
    <row r="26" spans="1:20" ht="13.5" thickBot="1">
      <c r="A26" s="318"/>
      <c r="B26" s="141">
        <v>10</v>
      </c>
      <c r="C26" s="142">
        <f t="shared" si="0"/>
        <v>20000</v>
      </c>
      <c r="D26" s="138">
        <f>+(SoS/C26)*12</f>
        <v>0.678</v>
      </c>
      <c r="E26" s="143" t="s">
        <v>59</v>
      </c>
      <c r="F26" s="106"/>
      <c r="G26" s="318"/>
      <c r="H26" s="88"/>
      <c r="I26" s="88"/>
      <c r="J26" s="88"/>
      <c r="K26" s="88"/>
      <c r="L26" s="88"/>
      <c r="M26" s="106"/>
      <c r="N26" s="319"/>
      <c r="O26" s="88"/>
      <c r="P26" s="88"/>
      <c r="Q26" s="88"/>
      <c r="R26" s="88"/>
      <c r="S26" s="88"/>
      <c r="T26" s="88"/>
    </row>
    <row r="27" spans="1:20" ht="13.5" thickBot="1">
      <c r="A27" s="318"/>
      <c r="B27" s="106"/>
      <c r="C27" s="326"/>
      <c r="D27" s="106"/>
      <c r="E27" s="106"/>
      <c r="F27" s="106"/>
      <c r="G27" s="318"/>
      <c r="H27" s="457" t="s">
        <v>112</v>
      </c>
      <c r="I27" s="458"/>
      <c r="J27" s="458"/>
      <c r="K27" s="458"/>
      <c r="L27" s="459"/>
      <c r="M27" s="106"/>
      <c r="N27" s="319"/>
      <c r="O27" s="88"/>
      <c r="P27" s="88"/>
      <c r="Q27" s="88"/>
      <c r="R27" s="88"/>
      <c r="S27" s="88"/>
      <c r="T27" s="88"/>
    </row>
    <row r="28" spans="1:20" ht="12.75">
      <c r="A28" s="318"/>
      <c r="B28" s="327"/>
      <c r="C28" s="82">
        <v>1130</v>
      </c>
      <c r="D28" s="150">
        <f>SoS/C28</f>
        <v>1</v>
      </c>
      <c r="E28" s="144" t="s">
        <v>58</v>
      </c>
      <c r="F28" s="106"/>
      <c r="G28" s="318"/>
      <c r="H28" s="443"/>
      <c r="I28" s="444"/>
      <c r="J28" s="444"/>
      <c r="K28" s="445" t="s">
        <v>123</v>
      </c>
      <c r="L28" s="437">
        <v>8</v>
      </c>
      <c r="M28" s="106"/>
      <c r="N28" s="319"/>
      <c r="O28" s="88"/>
      <c r="P28" s="88"/>
      <c r="Q28" s="88"/>
      <c r="R28" s="88"/>
      <c r="S28" s="88"/>
      <c r="T28" s="88"/>
    </row>
    <row r="29" spans="1:20" ht="13.5" thickBot="1">
      <c r="A29" s="318"/>
      <c r="B29" s="106"/>
      <c r="C29" s="145"/>
      <c r="D29" s="151">
        <f>+D28*12</f>
        <v>12</v>
      </c>
      <c r="E29" s="143" t="s">
        <v>59</v>
      </c>
      <c r="F29" s="106"/>
      <c r="G29" s="318"/>
      <c r="H29" s="446"/>
      <c r="I29" s="106"/>
      <c r="J29" s="106"/>
      <c r="K29" s="106"/>
      <c r="L29" s="438"/>
      <c r="M29" s="106"/>
      <c r="N29" s="319"/>
      <c r="O29" s="88"/>
      <c r="P29" s="88"/>
      <c r="Q29" s="88"/>
      <c r="R29" s="88"/>
      <c r="S29" s="88"/>
      <c r="T29" s="88"/>
    </row>
    <row r="30" spans="1:20" ht="15.75" thickBot="1">
      <c r="A30" s="318"/>
      <c r="B30" s="106"/>
      <c r="C30" s="106"/>
      <c r="D30" s="146"/>
      <c r="E30" s="147"/>
      <c r="F30" s="106"/>
      <c r="G30" s="318"/>
      <c r="H30" s="449"/>
      <c r="I30" s="110"/>
      <c r="J30" s="450" t="s">
        <v>117</v>
      </c>
      <c r="K30" s="148" t="s">
        <v>118</v>
      </c>
      <c r="L30" s="439">
        <v>1</v>
      </c>
      <c r="M30" s="106"/>
      <c r="N30" s="319"/>
      <c r="O30" s="88"/>
      <c r="P30" s="88"/>
      <c r="Q30" s="88"/>
      <c r="R30" s="88"/>
      <c r="S30" s="88"/>
      <c r="T30" s="88"/>
    </row>
    <row r="31" spans="1:20" ht="15">
      <c r="A31" s="318"/>
      <c r="B31" s="327"/>
      <c r="C31" s="152">
        <f>SoS/D31</f>
        <v>1130</v>
      </c>
      <c r="D31" s="83">
        <v>1</v>
      </c>
      <c r="E31" s="144" t="s">
        <v>58</v>
      </c>
      <c r="F31" s="106"/>
      <c r="G31" s="318"/>
      <c r="H31" s="449"/>
      <c r="I31" s="110"/>
      <c r="J31" s="450" t="s">
        <v>119</v>
      </c>
      <c r="K31" s="149" t="s">
        <v>120</v>
      </c>
      <c r="L31" s="439">
        <v>2</v>
      </c>
      <c r="M31" s="106"/>
      <c r="N31" s="319"/>
      <c r="O31" s="88"/>
      <c r="P31" s="88"/>
      <c r="Q31" s="88"/>
      <c r="R31" s="88"/>
      <c r="S31" s="88"/>
      <c r="T31" s="88"/>
    </row>
    <row r="32" spans="1:20" ht="13.5" thickBot="1">
      <c r="A32" s="318"/>
      <c r="B32" s="327"/>
      <c r="C32" s="153">
        <f>(SoS/(D32/12))</f>
        <v>1130</v>
      </c>
      <c r="D32" s="84">
        <v>12</v>
      </c>
      <c r="E32" s="143" t="s">
        <v>59</v>
      </c>
      <c r="F32" s="106"/>
      <c r="G32" s="318"/>
      <c r="H32" s="446"/>
      <c r="I32" s="106"/>
      <c r="J32" s="106"/>
      <c r="K32" s="106"/>
      <c r="L32" s="438"/>
      <c r="M32" s="106"/>
      <c r="N32" s="319"/>
      <c r="O32" s="88"/>
      <c r="P32" s="88"/>
      <c r="Q32" s="88"/>
      <c r="R32" s="88"/>
      <c r="S32" s="88"/>
      <c r="T32" s="88"/>
    </row>
    <row r="33" spans="1:20" ht="12.75">
      <c r="A33" s="318"/>
      <c r="B33" s="106"/>
      <c r="C33" s="106"/>
      <c r="D33" s="106"/>
      <c r="E33" s="106"/>
      <c r="F33" s="106"/>
      <c r="G33" s="318"/>
      <c r="H33" s="446"/>
      <c r="I33" s="106"/>
      <c r="J33" s="106"/>
      <c r="K33" s="436" t="s">
        <v>121</v>
      </c>
      <c r="L33" s="440">
        <f>L28/L34</f>
        <v>2</v>
      </c>
      <c r="M33" s="106"/>
      <c r="N33" s="319"/>
      <c r="O33" s="88"/>
      <c r="P33" s="88"/>
      <c r="Q33" s="88"/>
      <c r="R33" s="88"/>
      <c r="S33" s="88"/>
      <c r="T33" s="88"/>
    </row>
    <row r="34" spans="1:20" ht="13.5" thickBot="1">
      <c r="A34" s="320"/>
      <c r="B34" s="321"/>
      <c r="C34" s="321"/>
      <c r="D34" s="321"/>
      <c r="E34" s="321"/>
      <c r="F34" s="321"/>
      <c r="G34" s="318"/>
      <c r="H34" s="446"/>
      <c r="I34" s="106"/>
      <c r="J34" s="106"/>
      <c r="K34" s="436" t="s">
        <v>122</v>
      </c>
      <c r="L34" s="441">
        <f>(L28*L30)/L31</f>
        <v>4</v>
      </c>
      <c r="M34" s="106"/>
      <c r="N34" s="319"/>
      <c r="O34" s="88"/>
      <c r="P34" s="88"/>
      <c r="Q34" s="88"/>
      <c r="R34" s="88"/>
      <c r="S34" s="88"/>
      <c r="T34" s="88"/>
    </row>
    <row r="35" spans="1:20" ht="13.5" thickBot="1">
      <c r="A35" s="315"/>
      <c r="B35" s="316"/>
      <c r="C35" s="316"/>
      <c r="D35" s="316"/>
      <c r="E35" s="316"/>
      <c r="F35" s="316"/>
      <c r="G35" s="318"/>
      <c r="H35" s="447"/>
      <c r="I35" s="102"/>
      <c r="J35" s="102"/>
      <c r="K35" s="448" t="s">
        <v>124</v>
      </c>
      <c r="L35" s="442">
        <f>10*LOG(L33*L31*L30)</f>
        <v>6.020599913279624</v>
      </c>
      <c r="M35" s="106"/>
      <c r="N35" s="319"/>
      <c r="O35" s="88"/>
      <c r="P35" s="88"/>
      <c r="Q35" s="88"/>
      <c r="R35" s="88"/>
      <c r="S35" s="88"/>
      <c r="T35" s="88"/>
    </row>
    <row r="36" spans="1:20" ht="12.75">
      <c r="A36" s="318"/>
      <c r="B36" s="233" t="s">
        <v>149</v>
      </c>
      <c r="C36" s="231"/>
      <c r="D36" s="232"/>
      <c r="E36" s="106"/>
      <c r="F36" s="106"/>
      <c r="G36" s="318"/>
      <c r="H36" s="106"/>
      <c r="I36" s="106"/>
      <c r="J36" s="106"/>
      <c r="K36" s="106"/>
      <c r="L36" s="337"/>
      <c r="M36" s="106"/>
      <c r="N36" s="319"/>
      <c r="O36" s="88"/>
      <c r="P36" s="88"/>
      <c r="Q36" s="88"/>
      <c r="R36" s="88"/>
      <c r="S36" s="88"/>
      <c r="T36" s="88"/>
    </row>
    <row r="37" spans="1:20" ht="12.75">
      <c r="A37" s="318"/>
      <c r="B37" s="222" t="s">
        <v>147</v>
      </c>
      <c r="C37" s="223"/>
      <c r="D37" s="238">
        <v>44100</v>
      </c>
      <c r="E37" s="106"/>
      <c r="F37" s="106"/>
      <c r="G37" s="318"/>
      <c r="H37" s="106"/>
      <c r="I37" s="106"/>
      <c r="J37" s="106"/>
      <c r="K37" s="106"/>
      <c r="L37" s="337"/>
      <c r="M37" s="106"/>
      <c r="N37" s="319"/>
      <c r="O37" s="88"/>
      <c r="P37" s="88"/>
      <c r="Q37" s="88"/>
      <c r="R37" s="88"/>
      <c r="S37" s="88"/>
      <c r="T37" s="88"/>
    </row>
    <row r="38" spans="1:21" ht="12.75">
      <c r="A38" s="318"/>
      <c r="B38" s="222" t="s">
        <v>148</v>
      </c>
      <c r="C38" s="223"/>
      <c r="D38" s="249">
        <f>SoS/D37</f>
        <v>0.02562358276643991</v>
      </c>
      <c r="E38" s="106"/>
      <c r="F38" s="106"/>
      <c r="G38" s="318"/>
      <c r="H38" s="106"/>
      <c r="I38" s="106"/>
      <c r="J38" s="106"/>
      <c r="K38" s="106"/>
      <c r="L38" s="106"/>
      <c r="M38" s="106"/>
      <c r="N38" s="319"/>
      <c r="O38" s="88"/>
      <c r="P38" s="88"/>
      <c r="Q38" s="88"/>
      <c r="R38" s="88"/>
      <c r="S38" s="88"/>
      <c r="T38" s="88"/>
      <c r="U38" s="88"/>
    </row>
    <row r="39" spans="1:21" ht="12.75">
      <c r="A39" s="318"/>
      <c r="B39" s="225"/>
      <c r="C39" s="227"/>
      <c r="D39" s="226"/>
      <c r="E39" s="106"/>
      <c r="F39" s="106"/>
      <c r="G39" s="318"/>
      <c r="H39" s="106"/>
      <c r="I39" s="106"/>
      <c r="J39" s="106"/>
      <c r="K39" s="106"/>
      <c r="L39" s="106"/>
      <c r="M39" s="106"/>
      <c r="N39" s="319"/>
      <c r="O39" s="88"/>
      <c r="P39" s="88"/>
      <c r="Q39" s="88"/>
      <c r="R39" s="88"/>
      <c r="S39" s="88"/>
      <c r="T39" s="88"/>
      <c r="U39" s="88"/>
    </row>
    <row r="40" spans="1:21" ht="12.75">
      <c r="A40" s="318"/>
      <c r="B40" s="222" t="s">
        <v>152</v>
      </c>
      <c r="C40" s="223"/>
      <c r="D40" s="239">
        <v>10</v>
      </c>
      <c r="E40" s="106"/>
      <c r="F40" s="106"/>
      <c r="G40" s="318"/>
      <c r="H40" s="106"/>
      <c r="I40" s="106"/>
      <c r="J40" s="106"/>
      <c r="K40" s="106"/>
      <c r="L40" s="106"/>
      <c r="M40" s="106"/>
      <c r="N40" s="319"/>
      <c r="O40" s="88"/>
      <c r="P40" s="88"/>
      <c r="Q40" s="88"/>
      <c r="R40" s="88"/>
      <c r="S40" s="88"/>
      <c r="T40" s="88"/>
      <c r="U40" s="88"/>
    </row>
    <row r="41" spans="1:21" ht="12.75">
      <c r="A41" s="318"/>
      <c r="B41" s="225"/>
      <c r="C41" s="227"/>
      <c r="D41" s="229"/>
      <c r="E41" s="106"/>
      <c r="F41" s="106"/>
      <c r="G41" s="318"/>
      <c r="H41" s="106"/>
      <c r="I41" s="106"/>
      <c r="J41" s="106"/>
      <c r="K41" s="106"/>
      <c r="L41" s="106"/>
      <c r="M41" s="106"/>
      <c r="N41" s="319"/>
      <c r="O41" s="88"/>
      <c r="P41" s="88"/>
      <c r="Q41" s="88"/>
      <c r="R41" s="88"/>
      <c r="S41" s="88"/>
      <c r="T41" s="88"/>
      <c r="U41" s="88"/>
    </row>
    <row r="42" spans="1:21" ht="12.75">
      <c r="A42" s="318"/>
      <c r="B42" s="225" t="s">
        <v>150</v>
      </c>
      <c r="C42" s="227"/>
      <c r="D42" s="237">
        <f>+D40*D38</f>
        <v>0.2562358276643991</v>
      </c>
      <c r="E42" s="106"/>
      <c r="F42" s="106"/>
      <c r="G42" s="318"/>
      <c r="H42" s="106"/>
      <c r="I42" s="106"/>
      <c r="J42" s="106"/>
      <c r="K42" s="106"/>
      <c r="L42" s="106"/>
      <c r="M42" s="106"/>
      <c r="N42" s="319"/>
      <c r="O42" s="88"/>
      <c r="P42" s="88"/>
      <c r="Q42" s="88"/>
      <c r="R42" s="88"/>
      <c r="S42" s="88"/>
      <c r="T42" s="88"/>
      <c r="U42" s="88"/>
    </row>
    <row r="43" spans="1:21" ht="12.75">
      <c r="A43" s="318"/>
      <c r="B43" s="234" t="s">
        <v>151</v>
      </c>
      <c r="C43" s="235"/>
      <c r="D43" s="236">
        <f>+D42*12</f>
        <v>3.0748299319727894</v>
      </c>
      <c r="E43" s="106"/>
      <c r="F43" s="106"/>
      <c r="G43" s="318"/>
      <c r="H43" s="106"/>
      <c r="I43" s="106"/>
      <c r="J43" s="106"/>
      <c r="K43" s="106"/>
      <c r="L43" s="106"/>
      <c r="M43" s="106"/>
      <c r="N43" s="319"/>
      <c r="O43" s="88"/>
      <c r="P43" s="88"/>
      <c r="Q43" s="88"/>
      <c r="R43" s="88"/>
      <c r="S43" s="88"/>
      <c r="T43" s="88"/>
      <c r="U43" s="88"/>
    </row>
    <row r="44" spans="1:21" ht="13.5" thickBot="1">
      <c r="A44" s="318"/>
      <c r="B44" s="228" t="s">
        <v>56</v>
      </c>
      <c r="C44" s="230"/>
      <c r="D44" s="224">
        <f>SoS/D42</f>
        <v>4410</v>
      </c>
      <c r="E44" s="106"/>
      <c r="F44" s="106"/>
      <c r="G44" s="318"/>
      <c r="H44" s="106"/>
      <c r="I44" s="106"/>
      <c r="J44" s="106"/>
      <c r="K44" s="106"/>
      <c r="L44" s="106"/>
      <c r="M44" s="106"/>
      <c r="N44" s="319"/>
      <c r="O44" s="88"/>
      <c r="P44" s="88"/>
      <c r="Q44" s="88"/>
      <c r="R44" s="88"/>
      <c r="S44" s="88"/>
      <c r="T44" s="88"/>
      <c r="U44" s="88"/>
    </row>
    <row r="45" spans="1:21" ht="12.75">
      <c r="A45" s="318"/>
      <c r="B45" s="106"/>
      <c r="C45" s="106"/>
      <c r="D45" s="106"/>
      <c r="E45" s="106"/>
      <c r="F45" s="106"/>
      <c r="G45" s="318"/>
      <c r="H45" s="106"/>
      <c r="I45" s="106"/>
      <c r="J45" s="106"/>
      <c r="K45" s="106"/>
      <c r="L45" s="106"/>
      <c r="M45" s="106"/>
      <c r="N45" s="319"/>
      <c r="O45" s="88"/>
      <c r="P45" s="88"/>
      <c r="Q45" s="88"/>
      <c r="R45" s="88"/>
      <c r="S45" s="88"/>
      <c r="T45" s="88"/>
      <c r="U45" s="88"/>
    </row>
    <row r="46" spans="1:21" ht="395.25">
      <c r="A46" s="318"/>
      <c r="B46" s="500" t="s">
        <v>153</v>
      </c>
      <c r="C46" s="501"/>
      <c r="D46" s="501"/>
      <c r="E46" s="106"/>
      <c r="F46" s="106"/>
      <c r="G46" s="318"/>
      <c r="H46" s="106"/>
      <c r="I46" s="106"/>
      <c r="J46" s="106"/>
      <c r="K46" s="106"/>
      <c r="L46" s="106"/>
      <c r="M46" s="106"/>
      <c r="N46" s="319"/>
      <c r="O46" s="88"/>
      <c r="P46" s="88"/>
      <c r="Q46" s="88"/>
      <c r="R46" s="88"/>
      <c r="S46" s="88"/>
      <c r="T46" s="88"/>
      <c r="U46" s="88"/>
    </row>
    <row r="47" spans="1:21" ht="12.75">
      <c r="A47" s="318"/>
      <c r="B47" s="501"/>
      <c r="C47" s="501"/>
      <c r="D47" s="501"/>
      <c r="E47" s="106"/>
      <c r="F47" s="106"/>
      <c r="G47" s="318"/>
      <c r="H47" s="106"/>
      <c r="I47" s="106"/>
      <c r="J47" s="106"/>
      <c r="K47" s="106"/>
      <c r="L47" s="106"/>
      <c r="M47" s="106"/>
      <c r="N47" s="319"/>
      <c r="O47" s="88"/>
      <c r="P47" s="88"/>
      <c r="Q47" s="88"/>
      <c r="R47" s="88"/>
      <c r="S47" s="88"/>
      <c r="T47" s="88"/>
      <c r="U47" s="88"/>
    </row>
    <row r="48" spans="1:21" ht="12.75">
      <c r="A48" s="318"/>
      <c r="B48" s="501"/>
      <c r="C48" s="501"/>
      <c r="D48" s="501"/>
      <c r="E48" s="106"/>
      <c r="F48" s="106"/>
      <c r="G48" s="318"/>
      <c r="H48" s="106"/>
      <c r="I48" s="106"/>
      <c r="J48" s="106"/>
      <c r="K48" s="106"/>
      <c r="L48" s="106"/>
      <c r="M48" s="106"/>
      <c r="N48" s="319"/>
      <c r="O48" s="88"/>
      <c r="P48" s="88"/>
      <c r="Q48" s="88"/>
      <c r="R48" s="88"/>
      <c r="S48" s="88"/>
      <c r="T48" s="88"/>
      <c r="U48" s="88"/>
    </row>
    <row r="49" spans="1:21" ht="12.75">
      <c r="A49" s="318"/>
      <c r="B49" s="501"/>
      <c r="C49" s="501"/>
      <c r="D49" s="501"/>
      <c r="E49" s="106"/>
      <c r="F49" s="106"/>
      <c r="G49" s="318"/>
      <c r="H49" s="106"/>
      <c r="I49" s="106"/>
      <c r="J49" s="106"/>
      <c r="K49" s="106"/>
      <c r="L49" s="106"/>
      <c r="M49" s="106"/>
      <c r="N49" s="319"/>
      <c r="O49" s="88"/>
      <c r="P49" s="88"/>
      <c r="Q49" s="88"/>
      <c r="R49" s="88"/>
      <c r="S49" s="88"/>
      <c r="T49" s="88"/>
      <c r="U49" s="88"/>
    </row>
    <row r="50" spans="1:21" ht="12.75">
      <c r="A50" s="318"/>
      <c r="B50" s="501"/>
      <c r="C50" s="501"/>
      <c r="D50" s="501"/>
      <c r="E50" s="106"/>
      <c r="F50" s="106"/>
      <c r="G50" s="318"/>
      <c r="H50" s="106"/>
      <c r="I50" s="106"/>
      <c r="J50" s="106"/>
      <c r="K50" s="106"/>
      <c r="L50" s="106"/>
      <c r="M50" s="106"/>
      <c r="N50" s="319"/>
      <c r="O50" s="88"/>
      <c r="P50" s="88"/>
      <c r="Q50" s="88"/>
      <c r="R50" s="88"/>
      <c r="S50" s="88"/>
      <c r="T50" s="88"/>
      <c r="U50" s="88"/>
    </row>
    <row r="51" spans="1:21" ht="12.75">
      <c r="A51" s="318"/>
      <c r="B51" s="501"/>
      <c r="C51" s="501"/>
      <c r="D51" s="501"/>
      <c r="E51" s="106"/>
      <c r="F51" s="106"/>
      <c r="G51" s="318"/>
      <c r="H51" s="106"/>
      <c r="I51" s="106"/>
      <c r="J51" s="106"/>
      <c r="K51" s="106"/>
      <c r="L51" s="106"/>
      <c r="M51" s="106"/>
      <c r="N51" s="319"/>
      <c r="O51" s="88"/>
      <c r="P51" s="88"/>
      <c r="Q51" s="88"/>
      <c r="R51" s="88"/>
      <c r="S51" s="88"/>
      <c r="T51" s="88"/>
      <c r="U51" s="88"/>
    </row>
    <row r="52" spans="1:21" ht="12.75">
      <c r="A52" s="318"/>
      <c r="B52" s="502"/>
      <c r="C52" s="502"/>
      <c r="D52" s="502"/>
      <c r="E52" s="106"/>
      <c r="F52" s="106"/>
      <c r="G52" s="318"/>
      <c r="H52" s="106"/>
      <c r="I52" s="106"/>
      <c r="J52" s="106"/>
      <c r="K52" s="106"/>
      <c r="L52" s="106"/>
      <c r="M52" s="106"/>
      <c r="N52" s="319"/>
      <c r="O52" s="88"/>
      <c r="P52" s="88"/>
      <c r="Q52" s="88"/>
      <c r="R52" s="88"/>
      <c r="S52" s="88"/>
      <c r="T52" s="88"/>
      <c r="U52" s="88"/>
    </row>
    <row r="53" spans="1:21" ht="12.75">
      <c r="A53" s="318"/>
      <c r="B53" s="502"/>
      <c r="C53" s="502"/>
      <c r="D53" s="502"/>
      <c r="E53" s="106"/>
      <c r="F53" s="106"/>
      <c r="G53" s="318"/>
      <c r="H53" s="106"/>
      <c r="I53" s="106"/>
      <c r="J53" s="106"/>
      <c r="K53" s="106"/>
      <c r="L53" s="106"/>
      <c r="M53" s="106"/>
      <c r="N53" s="319"/>
      <c r="O53" s="88"/>
      <c r="P53" s="88"/>
      <c r="Q53" s="88"/>
      <c r="R53" s="88"/>
      <c r="S53" s="88"/>
      <c r="T53" s="88"/>
      <c r="U53" s="88"/>
    </row>
    <row r="54" spans="1:21" ht="12.75">
      <c r="A54" s="318"/>
      <c r="B54" s="502"/>
      <c r="C54" s="502"/>
      <c r="D54" s="502"/>
      <c r="E54" s="106"/>
      <c r="F54" s="106"/>
      <c r="G54" s="318"/>
      <c r="H54" s="106"/>
      <c r="I54" s="106"/>
      <c r="J54" s="106"/>
      <c r="K54" s="106"/>
      <c r="L54" s="106"/>
      <c r="M54" s="106"/>
      <c r="N54" s="319"/>
      <c r="O54" s="88"/>
      <c r="P54" s="88"/>
      <c r="Q54" s="88"/>
      <c r="R54" s="88"/>
      <c r="S54" s="88"/>
      <c r="T54" s="88"/>
      <c r="U54" s="88"/>
    </row>
    <row r="55" spans="1:21" ht="13.5" thickBot="1">
      <c r="A55" s="320"/>
      <c r="B55" s="503"/>
      <c r="C55" s="503"/>
      <c r="D55" s="503"/>
      <c r="E55" s="321"/>
      <c r="F55" s="321"/>
      <c r="G55" s="320"/>
      <c r="H55" s="321"/>
      <c r="I55" s="321"/>
      <c r="J55" s="321"/>
      <c r="K55" s="321"/>
      <c r="L55" s="321"/>
      <c r="M55" s="321"/>
      <c r="N55" s="322"/>
      <c r="O55" s="88"/>
      <c r="P55" s="88"/>
      <c r="Q55" s="88"/>
      <c r="R55" s="88"/>
      <c r="S55" s="88"/>
      <c r="T55" s="88"/>
      <c r="U55" s="88"/>
    </row>
    <row r="56" spans="1:21" ht="12.75">
      <c r="A56" s="315"/>
      <c r="B56" s="323"/>
      <c r="C56" s="323"/>
      <c r="D56" s="323"/>
      <c r="E56" s="316"/>
      <c r="F56" s="316"/>
      <c r="G56" s="316"/>
      <c r="H56" s="316"/>
      <c r="I56" s="317"/>
      <c r="J56" s="106"/>
      <c r="K56" s="106"/>
      <c r="L56" s="106"/>
      <c r="M56" s="106"/>
      <c r="N56" s="106"/>
      <c r="O56" s="88"/>
      <c r="P56" s="88"/>
      <c r="Q56" s="88"/>
      <c r="R56" s="88"/>
      <c r="S56" s="88"/>
      <c r="T56" s="88"/>
      <c r="U56" s="88"/>
    </row>
    <row r="57" spans="1:21" ht="13.5" thickBot="1">
      <c r="A57" s="318"/>
      <c r="B57" s="333"/>
      <c r="C57" s="333"/>
      <c r="D57" s="333"/>
      <c r="E57" s="106"/>
      <c r="F57" s="106"/>
      <c r="G57" s="106"/>
      <c r="H57" s="106"/>
      <c r="I57" s="319"/>
      <c r="J57" s="88"/>
      <c r="K57" s="88"/>
      <c r="L57" s="88"/>
      <c r="M57" s="88"/>
      <c r="N57" s="88"/>
      <c r="O57" s="88"/>
      <c r="P57" s="88"/>
      <c r="Q57" s="88"/>
      <c r="R57" s="88"/>
      <c r="S57" s="88"/>
      <c r="T57" s="88"/>
      <c r="U57" s="88"/>
    </row>
    <row r="58" spans="1:11" s="88" customFormat="1" ht="13.5" thickBot="1">
      <c r="A58" s="318"/>
      <c r="B58" s="277" t="s">
        <v>221</v>
      </c>
      <c r="C58" s="278"/>
      <c r="D58" s="231"/>
      <c r="E58" s="232"/>
      <c r="F58" s="335" t="s">
        <v>261</v>
      </c>
      <c r="G58" s="106"/>
      <c r="H58" s="338" t="s">
        <v>264</v>
      </c>
      <c r="I58" s="319"/>
      <c r="K58" s="88" t="s">
        <v>258</v>
      </c>
    </row>
    <row r="59" spans="1:14" s="88" customFormat="1" ht="12.75">
      <c r="A59" s="318"/>
      <c r="B59" s="279" t="s">
        <v>163</v>
      </c>
      <c r="C59" s="281"/>
      <c r="D59" s="289">
        <v>5.1</v>
      </c>
      <c r="E59" s="108" t="s">
        <v>68</v>
      </c>
      <c r="F59" s="470">
        <f>+D59/2.54</f>
        <v>2.0078740157480315</v>
      </c>
      <c r="G59" s="471" t="s">
        <v>262</v>
      </c>
      <c r="H59" s="469">
        <f>(PI()*((F59/2)^2))</f>
        <v>3.1663782984015794</v>
      </c>
      <c r="I59" s="336" t="s">
        <v>162</v>
      </c>
      <c r="K59" s="423"/>
      <c r="L59" s="424"/>
      <c r="M59" s="424"/>
      <c r="N59" s="425"/>
    </row>
    <row r="60" spans="1:14" s="88" customFormat="1" ht="12.75">
      <c r="A60" s="318"/>
      <c r="B60" s="222" t="s">
        <v>164</v>
      </c>
      <c r="C60" s="223"/>
      <c r="D60" s="290">
        <v>25.4</v>
      </c>
      <c r="E60" s="108" t="s">
        <v>68</v>
      </c>
      <c r="F60" s="472">
        <f>+D60/2.54</f>
        <v>10</v>
      </c>
      <c r="G60" s="473" t="s">
        <v>263</v>
      </c>
      <c r="H60" s="469">
        <f>(PI()*((D59/2)^2))</f>
        <v>20.42820622996763</v>
      </c>
      <c r="I60" s="336" t="s">
        <v>167</v>
      </c>
      <c r="K60" s="426"/>
      <c r="L60" s="357"/>
      <c r="M60" s="357"/>
      <c r="N60" s="427"/>
    </row>
    <row r="61" spans="1:14" s="88" customFormat="1" ht="12.75">
      <c r="A61" s="318"/>
      <c r="B61" s="222" t="s">
        <v>169</v>
      </c>
      <c r="C61" s="223"/>
      <c r="D61" s="286">
        <f>(PI()*((D59/2)^2)*D60)</f>
        <v>518.8764382411778</v>
      </c>
      <c r="E61" s="108" t="s">
        <v>170</v>
      </c>
      <c r="F61" s="106"/>
      <c r="G61" s="106"/>
      <c r="H61" s="335"/>
      <c r="I61" s="336"/>
      <c r="K61" s="426"/>
      <c r="L61" s="357"/>
      <c r="M61" s="357"/>
      <c r="N61" s="427"/>
    </row>
    <row r="62" spans="1:14" s="88" customFormat="1" ht="12.75">
      <c r="A62" s="318"/>
      <c r="B62" s="222" t="s">
        <v>169</v>
      </c>
      <c r="C62" s="223"/>
      <c r="D62" s="287">
        <f>+H59*D68</f>
        <v>31.663782984015793</v>
      </c>
      <c r="E62" s="108" t="s">
        <v>171</v>
      </c>
      <c r="F62" s="324"/>
      <c r="G62" s="498" t="s">
        <v>216</v>
      </c>
      <c r="H62" s="499"/>
      <c r="I62" s="336"/>
      <c r="K62" s="426"/>
      <c r="L62" s="357"/>
      <c r="M62" s="357"/>
      <c r="N62" s="427"/>
    </row>
    <row r="63" spans="1:14" s="88" customFormat="1" ht="12.75">
      <c r="A63" s="318"/>
      <c r="B63" s="282"/>
      <c r="C63" s="106"/>
      <c r="D63" s="284"/>
      <c r="E63" s="108"/>
      <c r="F63" s="106"/>
      <c r="G63" s="499"/>
      <c r="H63" s="499"/>
      <c r="I63" s="336"/>
      <c r="K63" s="426"/>
      <c r="L63" s="357"/>
      <c r="M63" s="357"/>
      <c r="N63" s="427"/>
    </row>
    <row r="64" spans="1:14" s="88" customFormat="1" ht="12.75">
      <c r="A64" s="318"/>
      <c r="B64" s="282" t="s">
        <v>165</v>
      </c>
      <c r="C64" s="106"/>
      <c r="D64" s="332">
        <f>+D67-D62</f>
        <v>-1.6637829840157927</v>
      </c>
      <c r="E64" s="108" t="s">
        <v>171</v>
      </c>
      <c r="F64" s="106"/>
      <c r="G64" s="499"/>
      <c r="H64" s="499"/>
      <c r="I64" s="336"/>
      <c r="K64" s="426"/>
      <c r="L64" s="357"/>
      <c r="M64" s="357"/>
      <c r="N64" s="427"/>
    </row>
    <row r="65" spans="1:14" s="88" customFormat="1" ht="12.75">
      <c r="A65" s="318"/>
      <c r="B65" s="282"/>
      <c r="C65" s="106"/>
      <c r="D65" s="285">
        <f>+D64/D62</f>
        <v>-0.05254530025220574</v>
      </c>
      <c r="E65" s="108"/>
      <c r="F65" s="106"/>
      <c r="G65" s="499"/>
      <c r="H65" s="499"/>
      <c r="I65" s="336"/>
      <c r="K65" s="426"/>
      <c r="L65" s="357"/>
      <c r="M65" s="357"/>
      <c r="N65" s="427"/>
    </row>
    <row r="66" spans="1:14" s="88" customFormat="1" ht="12.75">
      <c r="A66" s="318"/>
      <c r="B66" s="282"/>
      <c r="C66" s="106"/>
      <c r="D66" s="285"/>
      <c r="E66" s="108"/>
      <c r="F66" s="106"/>
      <c r="G66" s="499"/>
      <c r="H66" s="499"/>
      <c r="I66" s="336"/>
      <c r="K66" s="426"/>
      <c r="L66" s="357"/>
      <c r="M66" s="357"/>
      <c r="N66" s="427"/>
    </row>
    <row r="67" spans="1:14" s="88" customFormat="1" ht="15" customHeight="1">
      <c r="A67" s="318"/>
      <c r="B67" s="222" t="s">
        <v>166</v>
      </c>
      <c r="C67" s="235"/>
      <c r="D67" s="297">
        <f>+D68*C69*C70</f>
        <v>30</v>
      </c>
      <c r="E67" s="288" t="s">
        <v>171</v>
      </c>
      <c r="F67" s="325">
        <f>IF('Conversion tools'!D68&gt;(Main!$L$65-2),"Port length too long for depth of cabinet!","")</f>
      </c>
      <c r="G67" s="106"/>
      <c r="H67" s="106"/>
      <c r="I67" s="336"/>
      <c r="K67" s="426"/>
      <c r="L67" s="357"/>
      <c r="M67" s="357"/>
      <c r="N67" s="427"/>
    </row>
    <row r="68" spans="1:14" s="88" customFormat="1" ht="15" customHeight="1">
      <c r="A68" s="318"/>
      <c r="B68" s="225" t="s">
        <v>57</v>
      </c>
      <c r="C68" s="334"/>
      <c r="D68" s="296">
        <f>+D60/2.54</f>
        <v>10</v>
      </c>
      <c r="E68" s="108" t="s">
        <v>206</v>
      </c>
      <c r="F68" s="325">
        <f>IF('Conversion tools'!C69&gt;(Main!$J$65),"Port width wider than ID of cabinet!","")</f>
      </c>
      <c r="G68" s="106" t="s">
        <v>256</v>
      </c>
      <c r="H68" s="147"/>
      <c r="I68" s="336"/>
      <c r="K68" s="426"/>
      <c r="L68" s="357"/>
      <c r="M68" s="357"/>
      <c r="N68" s="427"/>
    </row>
    <row r="69" spans="1:14" s="88" customFormat="1" ht="15" customHeight="1">
      <c r="A69" s="318"/>
      <c r="B69" s="222" t="s">
        <v>33</v>
      </c>
      <c r="C69" s="296">
        <f>+D69/8</f>
        <v>3</v>
      </c>
      <c r="D69" s="357">
        <v>24</v>
      </c>
      <c r="E69" s="358"/>
      <c r="F69" s="106"/>
      <c r="G69" s="453">
        <f>+D62/1728</f>
        <v>0.01832394848612025</v>
      </c>
      <c r="H69" s="454" t="s">
        <v>260</v>
      </c>
      <c r="I69" s="455"/>
      <c r="K69" s="426"/>
      <c r="L69" s="357"/>
      <c r="M69" s="357"/>
      <c r="N69" s="427"/>
    </row>
    <row r="70" spans="1:14" s="88" customFormat="1" ht="13.5" thickBot="1">
      <c r="A70" s="318"/>
      <c r="B70" s="280" t="s">
        <v>34</v>
      </c>
      <c r="C70" s="283">
        <f>+D70/16</f>
        <v>1</v>
      </c>
      <c r="D70" s="359">
        <v>16</v>
      </c>
      <c r="E70" s="360"/>
      <c r="F70" s="106"/>
      <c r="G70" s="451">
        <f>+G69*28.32</f>
        <v>0.5189342211269256</v>
      </c>
      <c r="H70" s="452" t="s">
        <v>223</v>
      </c>
      <c r="I70" s="456"/>
      <c r="K70" s="426"/>
      <c r="L70" s="357"/>
      <c r="M70" s="357"/>
      <c r="N70" s="427"/>
    </row>
    <row r="71" spans="1:14" s="88" customFormat="1" ht="12.75">
      <c r="A71" s="318"/>
      <c r="B71" s="106"/>
      <c r="C71" s="106"/>
      <c r="D71" s="106"/>
      <c r="E71" s="106"/>
      <c r="F71" s="106"/>
      <c r="G71" s="106"/>
      <c r="H71" s="106"/>
      <c r="I71" s="319"/>
      <c r="K71" s="426"/>
      <c r="L71" s="357"/>
      <c r="M71" s="357"/>
      <c r="N71" s="427"/>
    </row>
    <row r="72" spans="1:14" s="88" customFormat="1" ht="12.75">
      <c r="A72" s="318"/>
      <c r="B72" s="106" t="s">
        <v>207</v>
      </c>
      <c r="C72" s="106"/>
      <c r="D72" s="106"/>
      <c r="E72" s="106"/>
      <c r="F72" s="106"/>
      <c r="G72" s="106"/>
      <c r="H72" s="106"/>
      <c r="I72" s="319"/>
      <c r="K72" s="426"/>
      <c r="L72" s="357"/>
      <c r="M72" s="357"/>
      <c r="N72" s="427"/>
    </row>
    <row r="73" spans="1:14" s="88" customFormat="1" ht="13.5" thickBot="1">
      <c r="A73" s="320"/>
      <c r="B73" s="321"/>
      <c r="C73" s="321"/>
      <c r="D73" s="321"/>
      <c r="E73" s="321"/>
      <c r="F73" s="321"/>
      <c r="G73" s="321"/>
      <c r="H73" s="321"/>
      <c r="I73" s="322"/>
      <c r="K73" s="426"/>
      <c r="L73" s="357"/>
      <c r="M73" s="357"/>
      <c r="N73" s="427"/>
    </row>
    <row r="74" spans="1:14" s="88" customFormat="1" ht="12.75">
      <c r="A74" s="315"/>
      <c r="B74" s="316"/>
      <c r="C74" s="316"/>
      <c r="D74" s="316"/>
      <c r="E74" s="316"/>
      <c r="F74" s="316"/>
      <c r="G74" s="316"/>
      <c r="H74" s="316"/>
      <c r="I74" s="317"/>
      <c r="K74" s="426"/>
      <c r="L74" s="357"/>
      <c r="M74" s="357"/>
      <c r="N74" s="427"/>
    </row>
    <row r="75" spans="1:14" s="88" customFormat="1" ht="12.75">
      <c r="A75" s="318"/>
      <c r="B75" s="106" t="s">
        <v>214</v>
      </c>
      <c r="C75" s="106"/>
      <c r="D75" s="106"/>
      <c r="E75" s="106"/>
      <c r="F75" s="106"/>
      <c r="G75" s="106"/>
      <c r="H75" s="476"/>
      <c r="I75" s="319"/>
      <c r="K75" s="426"/>
      <c r="L75" s="357"/>
      <c r="M75" s="357"/>
      <c r="N75" s="427"/>
    </row>
    <row r="76" spans="1:14" s="88" customFormat="1" ht="12.75">
      <c r="A76" s="318"/>
      <c r="B76" s="337"/>
      <c r="C76" s="106"/>
      <c r="D76" s="106"/>
      <c r="E76" s="106"/>
      <c r="F76" s="106"/>
      <c r="G76" s="106"/>
      <c r="H76" s="106"/>
      <c r="I76" s="319"/>
      <c r="K76" s="426"/>
      <c r="L76" s="357"/>
      <c r="M76" s="357"/>
      <c r="N76" s="427"/>
    </row>
    <row r="77" spans="1:14" s="88" customFormat="1" ht="12.75">
      <c r="A77" s="318"/>
      <c r="B77" s="504" t="s">
        <v>211</v>
      </c>
      <c r="C77" s="508"/>
      <c r="D77" s="106"/>
      <c r="E77" s="347"/>
      <c r="F77" s="347"/>
      <c r="G77" s="106"/>
      <c r="H77" s="347"/>
      <c r="I77" s="319"/>
      <c r="K77" s="426"/>
      <c r="L77" s="357"/>
      <c r="M77" s="357"/>
      <c r="N77" s="427"/>
    </row>
    <row r="78" spans="1:14" s="95" customFormat="1" ht="12.75">
      <c r="A78" s="318"/>
      <c r="B78" s="506" t="s">
        <v>212</v>
      </c>
      <c r="C78" s="507"/>
      <c r="D78" s="333"/>
      <c r="E78" s="504" t="s">
        <v>210</v>
      </c>
      <c r="F78" s="505"/>
      <c r="G78" s="106"/>
      <c r="H78" s="465" t="s">
        <v>213</v>
      </c>
      <c r="I78" s="319"/>
      <c r="K78" s="460"/>
      <c r="L78" s="461"/>
      <c r="M78" s="461"/>
      <c r="N78" s="462"/>
    </row>
    <row r="79" spans="1:14" s="88" customFormat="1" ht="12.75">
      <c r="A79" s="343"/>
      <c r="B79" s="467" t="s">
        <v>178</v>
      </c>
      <c r="C79" s="468" t="s">
        <v>97</v>
      </c>
      <c r="D79" s="337"/>
      <c r="E79" s="467" t="s">
        <v>208</v>
      </c>
      <c r="F79" s="468" t="s">
        <v>209</v>
      </c>
      <c r="G79" s="337"/>
      <c r="H79" s="466" t="s">
        <v>209</v>
      </c>
      <c r="I79" s="344"/>
      <c r="K79" s="426"/>
      <c r="L79" s="357"/>
      <c r="M79" s="357"/>
      <c r="N79" s="427"/>
    </row>
    <row r="80" spans="1:14" s="88" customFormat="1" ht="12.75">
      <c r="A80" s="318"/>
      <c r="B80" s="339">
        <v>100</v>
      </c>
      <c r="C80" s="340">
        <f>+B80/25.4</f>
        <v>3.937007874015748</v>
      </c>
      <c r="D80" s="341"/>
      <c r="E80" s="342">
        <f>(PI()*((B80/2)^2))/100</f>
        <v>78.53981633974483</v>
      </c>
      <c r="F80" s="342">
        <f>(PI()*((B80/2)^2))/(25.4^2)</f>
        <v>12.17369588005221</v>
      </c>
      <c r="G80" s="106"/>
      <c r="H80" s="348">
        <f aca="true" t="shared" si="1" ref="H80:H90">+F80*2</f>
        <v>24.34739176010442</v>
      </c>
      <c r="I80" s="319"/>
      <c r="K80" s="426"/>
      <c r="L80" s="357"/>
      <c r="M80" s="357"/>
      <c r="N80" s="427"/>
    </row>
    <row r="81" spans="1:14" s="88" customFormat="1" ht="12.75">
      <c r="A81" s="318"/>
      <c r="B81" s="339">
        <v>130</v>
      </c>
      <c r="C81" s="340">
        <f aca="true" t="shared" si="2" ref="C81:C90">+B81/25.4</f>
        <v>5.118110236220473</v>
      </c>
      <c r="D81" s="341"/>
      <c r="E81" s="342">
        <f aca="true" t="shared" si="3" ref="E81:E90">(PI()*((B81/2)^2))/100</f>
        <v>132.73228961416876</v>
      </c>
      <c r="F81" s="342">
        <f aca="true" t="shared" si="4" ref="F81:F90">(PI()*((B81/2)^2))/(25.4^2)</f>
        <v>20.573546037288235</v>
      </c>
      <c r="G81" s="106"/>
      <c r="H81" s="346">
        <f t="shared" si="1"/>
        <v>41.14709207457647</v>
      </c>
      <c r="I81" s="345"/>
      <c r="K81" s="426"/>
      <c r="L81" s="357"/>
      <c r="M81" s="357"/>
      <c r="N81" s="427"/>
    </row>
    <row r="82" spans="1:14" s="88" customFormat="1" ht="12.75">
      <c r="A82" s="318"/>
      <c r="B82" s="339">
        <v>140</v>
      </c>
      <c r="C82" s="340">
        <f t="shared" si="2"/>
        <v>5.511811023622047</v>
      </c>
      <c r="D82" s="341"/>
      <c r="E82" s="342">
        <f t="shared" si="3"/>
        <v>153.93804002589985</v>
      </c>
      <c r="F82" s="349">
        <f t="shared" si="4"/>
        <v>23.86044392490233</v>
      </c>
      <c r="G82" s="106"/>
      <c r="H82" s="352">
        <f t="shared" si="1"/>
        <v>47.72088784980466</v>
      </c>
      <c r="I82" s="345"/>
      <c r="K82" s="426"/>
      <c r="L82" s="357"/>
      <c r="M82" s="357"/>
      <c r="N82" s="427"/>
    </row>
    <row r="83" spans="1:14" s="88" customFormat="1" ht="12.75">
      <c r="A83" s="318"/>
      <c r="B83" s="339">
        <v>170</v>
      </c>
      <c r="C83" s="340">
        <f t="shared" si="2"/>
        <v>6.692913385826772</v>
      </c>
      <c r="D83" s="341"/>
      <c r="E83" s="342">
        <f t="shared" si="3"/>
        <v>226.98006922186255</v>
      </c>
      <c r="F83" s="342">
        <f t="shared" si="4"/>
        <v>35.181981093350885</v>
      </c>
      <c r="G83" s="106"/>
      <c r="H83" s="346">
        <f t="shared" si="1"/>
        <v>70.36396218670177</v>
      </c>
      <c r="I83" s="345"/>
      <c r="K83" s="426"/>
      <c r="L83" s="357"/>
      <c r="M83" s="357"/>
      <c r="N83" s="427"/>
    </row>
    <row r="84" spans="1:14" s="88" customFormat="1" ht="12.75">
      <c r="A84" s="318"/>
      <c r="B84" s="339">
        <v>180</v>
      </c>
      <c r="C84" s="340">
        <f t="shared" si="2"/>
        <v>7.086614173228347</v>
      </c>
      <c r="D84" s="341"/>
      <c r="E84" s="342">
        <f t="shared" si="3"/>
        <v>254.46900494077323</v>
      </c>
      <c r="F84" s="342">
        <f t="shared" si="4"/>
        <v>39.442774651369156</v>
      </c>
      <c r="G84" s="106"/>
      <c r="H84" s="350">
        <f t="shared" si="1"/>
        <v>78.88554930273831</v>
      </c>
      <c r="I84" s="345"/>
      <c r="K84" s="426"/>
      <c r="L84" s="357"/>
      <c r="M84" s="357"/>
      <c r="N84" s="427"/>
    </row>
    <row r="85" spans="1:14" s="88" customFormat="1" ht="12.75">
      <c r="A85" s="318"/>
      <c r="B85" s="339">
        <v>210</v>
      </c>
      <c r="C85" s="340">
        <f t="shared" si="2"/>
        <v>8.267716535433072</v>
      </c>
      <c r="D85" s="341"/>
      <c r="E85" s="342">
        <f t="shared" si="3"/>
        <v>346.3605900582747</v>
      </c>
      <c r="F85" s="353">
        <f t="shared" si="4"/>
        <v>53.68599883103024</v>
      </c>
      <c r="G85" s="106"/>
      <c r="H85" s="346">
        <f t="shared" si="1"/>
        <v>107.37199766206048</v>
      </c>
      <c r="I85" s="345"/>
      <c r="K85" s="426"/>
      <c r="L85" s="357"/>
      <c r="M85" s="357"/>
      <c r="N85" s="427"/>
    </row>
    <row r="86" spans="1:14" s="88" customFormat="1" ht="12.75">
      <c r="A86" s="318"/>
      <c r="B86" s="339">
        <v>220</v>
      </c>
      <c r="C86" s="340">
        <f t="shared" si="2"/>
        <v>8.661417322834646</v>
      </c>
      <c r="D86" s="341"/>
      <c r="E86" s="342">
        <f t="shared" si="3"/>
        <v>380.132711084365</v>
      </c>
      <c r="F86" s="342">
        <f t="shared" si="4"/>
        <v>58.920688059452694</v>
      </c>
      <c r="G86" s="106"/>
      <c r="H86" s="346">
        <f t="shared" si="1"/>
        <v>117.84137611890539</v>
      </c>
      <c r="I86" s="345"/>
      <c r="K86" s="426"/>
      <c r="L86" s="357"/>
      <c r="M86" s="357"/>
      <c r="N86" s="427"/>
    </row>
    <row r="87" spans="1:14" s="88" customFormat="1" ht="12.75">
      <c r="A87" s="318"/>
      <c r="B87" s="339">
        <v>250</v>
      </c>
      <c r="C87" s="340">
        <f t="shared" si="2"/>
        <v>9.84251968503937</v>
      </c>
      <c r="D87" s="341"/>
      <c r="E87" s="342">
        <f t="shared" si="3"/>
        <v>490.8738521234052</v>
      </c>
      <c r="F87" s="342">
        <f t="shared" si="4"/>
        <v>76.08559925032631</v>
      </c>
      <c r="G87" s="106"/>
      <c r="H87" s="346">
        <f t="shared" si="1"/>
        <v>152.17119850065262</v>
      </c>
      <c r="I87" s="345"/>
      <c r="K87" s="426"/>
      <c r="L87" s="357"/>
      <c r="M87" s="357"/>
      <c r="N87" s="427"/>
    </row>
    <row r="88" spans="1:14" s="88" customFormat="1" ht="12.75">
      <c r="A88" s="318"/>
      <c r="B88" s="339">
        <v>260</v>
      </c>
      <c r="C88" s="340">
        <f t="shared" si="2"/>
        <v>10.236220472440946</v>
      </c>
      <c r="D88" s="341"/>
      <c r="E88" s="342">
        <f t="shared" si="3"/>
        <v>530.929158456675</v>
      </c>
      <c r="F88" s="351">
        <f t="shared" si="4"/>
        <v>82.29418414915294</v>
      </c>
      <c r="G88" s="106"/>
      <c r="H88" s="346">
        <f t="shared" si="1"/>
        <v>164.58836829830588</v>
      </c>
      <c r="I88" s="345"/>
      <c r="K88" s="426"/>
      <c r="L88" s="357"/>
      <c r="M88" s="357"/>
      <c r="N88" s="427"/>
    </row>
    <row r="89" spans="1:14" s="88" customFormat="1" ht="12.75">
      <c r="A89" s="318"/>
      <c r="B89" s="339">
        <v>300</v>
      </c>
      <c r="C89" s="340">
        <f t="shared" si="2"/>
        <v>11.811023622047244</v>
      </c>
      <c r="D89" s="341"/>
      <c r="E89" s="342">
        <f t="shared" si="3"/>
        <v>706.8583470577036</v>
      </c>
      <c r="F89" s="342">
        <f t="shared" si="4"/>
        <v>109.5632629204699</v>
      </c>
      <c r="G89" s="106"/>
      <c r="H89" s="346">
        <f t="shared" si="1"/>
        <v>219.1265258409398</v>
      </c>
      <c r="I89" s="345"/>
      <c r="K89" s="426"/>
      <c r="L89" s="357"/>
      <c r="M89" s="357"/>
      <c r="N89" s="427"/>
    </row>
    <row r="90" spans="1:14" s="88" customFormat="1" ht="12.75">
      <c r="A90" s="318"/>
      <c r="B90" s="339">
        <v>320</v>
      </c>
      <c r="C90" s="340">
        <f t="shared" si="2"/>
        <v>12.598425196850394</v>
      </c>
      <c r="D90" s="341"/>
      <c r="E90" s="342">
        <f t="shared" si="3"/>
        <v>804.247719318987</v>
      </c>
      <c r="F90" s="342">
        <f t="shared" si="4"/>
        <v>124.65864581173463</v>
      </c>
      <c r="G90" s="106"/>
      <c r="H90" s="346">
        <f t="shared" si="1"/>
        <v>249.31729162346926</v>
      </c>
      <c r="I90" s="345"/>
      <c r="K90" s="426"/>
      <c r="L90" s="357"/>
      <c r="M90" s="357"/>
      <c r="N90" s="427"/>
    </row>
    <row r="91" spans="1:14" s="88" customFormat="1" ht="12.75">
      <c r="A91" s="318"/>
      <c r="B91" s="106"/>
      <c r="C91" s="106"/>
      <c r="D91" s="106"/>
      <c r="E91" s="106"/>
      <c r="F91" s="106"/>
      <c r="G91" s="106"/>
      <c r="H91" s="106"/>
      <c r="I91" s="319"/>
      <c r="K91" s="426"/>
      <c r="L91" s="357"/>
      <c r="M91" s="357"/>
      <c r="N91" s="427"/>
    </row>
    <row r="92" spans="1:14" s="88" customFormat="1" ht="12.75">
      <c r="A92" s="318"/>
      <c r="B92" s="88" t="s">
        <v>215</v>
      </c>
      <c r="C92" s="106"/>
      <c r="D92" s="106"/>
      <c r="E92" s="106"/>
      <c r="F92" s="106"/>
      <c r="G92" s="106"/>
      <c r="H92" s="106"/>
      <c r="I92" s="319"/>
      <c r="K92" s="426"/>
      <c r="L92" s="357"/>
      <c r="M92" s="357"/>
      <c r="N92" s="427"/>
    </row>
    <row r="93" spans="1:14" s="88" customFormat="1" ht="12.75">
      <c r="A93" s="318"/>
      <c r="B93" s="106" t="s">
        <v>220</v>
      </c>
      <c r="C93" s="106"/>
      <c r="D93" s="106"/>
      <c r="E93" s="106"/>
      <c r="F93" s="106"/>
      <c r="G93" s="106"/>
      <c r="H93" s="106"/>
      <c r="I93" s="319"/>
      <c r="K93" s="426"/>
      <c r="L93" s="357"/>
      <c r="M93" s="357"/>
      <c r="N93" s="427"/>
    </row>
    <row r="94" spans="1:14" s="88" customFormat="1" ht="13.5" thickBot="1">
      <c r="A94" s="320"/>
      <c r="B94" s="321"/>
      <c r="C94" s="321"/>
      <c r="D94" s="321"/>
      <c r="E94" s="321"/>
      <c r="F94" s="321"/>
      <c r="G94" s="321"/>
      <c r="H94" s="321"/>
      <c r="I94" s="322"/>
      <c r="K94" s="429"/>
      <c r="L94" s="430"/>
      <c r="M94" s="430"/>
      <c r="N94" s="431"/>
    </row>
    <row r="95" s="88" customFormat="1" ht="12.75"/>
    <row r="96" s="88" customFormat="1" ht="12.75"/>
    <row r="97" s="88" customFormat="1" ht="12.75">
      <c r="B97" s="88" t="s">
        <v>257</v>
      </c>
    </row>
    <row r="98" s="88" customFormat="1" ht="12.75"/>
    <row r="99" s="88" customFormat="1" ht="12.75"/>
    <row r="100" s="88" customFormat="1" ht="12.75"/>
    <row r="101" s="88" customFormat="1" ht="12.75"/>
    <row r="102" s="88" customFormat="1" ht="12.75"/>
    <row r="103" s="88" customFormat="1" ht="12.75"/>
    <row r="104" s="88" customFormat="1" ht="12.75"/>
    <row r="105" s="88" customFormat="1" ht="12.75"/>
    <row r="106" s="88" customFormat="1" ht="12.75"/>
    <row r="107" s="88" customFormat="1" ht="12.75"/>
    <row r="108" spans="2:17" ht="12.75">
      <c r="B108" s="88"/>
      <c r="C108" s="88"/>
      <c r="D108" s="88"/>
      <c r="E108" s="88"/>
      <c r="F108" s="88"/>
      <c r="G108" s="88"/>
      <c r="H108" s="88"/>
      <c r="I108" s="88"/>
      <c r="J108" s="88"/>
      <c r="K108" s="88"/>
      <c r="L108" s="88"/>
      <c r="M108" s="88"/>
      <c r="N108" s="88"/>
      <c r="O108" s="88"/>
      <c r="P108" s="88"/>
      <c r="Q108" s="88"/>
    </row>
    <row r="109" spans="2:17" ht="12.75">
      <c r="B109" s="88"/>
      <c r="C109" s="88"/>
      <c r="D109" s="88"/>
      <c r="E109" s="88"/>
      <c r="F109" s="88"/>
      <c r="G109" s="88"/>
      <c r="H109" s="88"/>
      <c r="I109" s="88"/>
      <c r="J109" s="88"/>
      <c r="K109" s="88"/>
      <c r="L109" s="88"/>
      <c r="M109" s="88"/>
      <c r="N109" s="88"/>
      <c r="O109" s="88"/>
      <c r="P109" s="88"/>
      <c r="Q109" s="88"/>
    </row>
    <row r="110" spans="2:17" ht="12.75">
      <c r="B110" s="88"/>
      <c r="C110" s="88"/>
      <c r="D110" s="88"/>
      <c r="E110" s="88"/>
      <c r="F110" s="88"/>
      <c r="G110" s="88"/>
      <c r="H110" s="88"/>
      <c r="I110" s="88"/>
      <c r="J110" s="88"/>
      <c r="K110" s="88"/>
      <c r="L110" s="88"/>
      <c r="M110" s="88"/>
      <c r="N110" s="88"/>
      <c r="O110" s="88"/>
      <c r="P110" s="88"/>
      <c r="Q110" s="88"/>
    </row>
    <row r="111" spans="2:17" ht="12.75">
      <c r="B111" s="88"/>
      <c r="C111" s="88"/>
      <c r="D111" s="88"/>
      <c r="E111" s="88"/>
      <c r="F111" s="88"/>
      <c r="G111" s="88"/>
      <c r="H111" s="88"/>
      <c r="I111" s="88"/>
      <c r="J111" s="88"/>
      <c r="K111" s="88"/>
      <c r="L111" s="88"/>
      <c r="M111" s="88"/>
      <c r="N111" s="88"/>
      <c r="O111" s="88"/>
      <c r="P111" s="88"/>
      <c r="Q111" s="88"/>
    </row>
    <row r="112" spans="2:17" ht="12.75">
      <c r="B112" s="88"/>
      <c r="C112" s="88"/>
      <c r="D112" s="88"/>
      <c r="E112" s="88"/>
      <c r="F112" s="88"/>
      <c r="G112" s="88"/>
      <c r="H112" s="88"/>
      <c r="I112" s="88"/>
      <c r="J112" s="88"/>
      <c r="K112" s="88"/>
      <c r="L112" s="88"/>
      <c r="M112" s="88"/>
      <c r="N112" s="88"/>
      <c r="O112" s="88"/>
      <c r="P112" s="88"/>
      <c r="Q112" s="88"/>
    </row>
    <row r="113" spans="2:17" ht="12.75">
      <c r="B113" s="88"/>
      <c r="C113" s="88"/>
      <c r="D113" s="88"/>
      <c r="E113" s="88"/>
      <c r="F113" s="88"/>
      <c r="G113" s="88"/>
      <c r="H113" s="88"/>
      <c r="I113" s="88"/>
      <c r="J113" s="88"/>
      <c r="K113" s="88"/>
      <c r="L113" s="88"/>
      <c r="M113" s="88"/>
      <c r="N113" s="88"/>
      <c r="O113" s="88"/>
      <c r="P113" s="88"/>
      <c r="Q113" s="88"/>
    </row>
    <row r="114" spans="2:17" ht="12.75">
      <c r="B114" s="88"/>
      <c r="C114" s="88"/>
      <c r="D114" s="88"/>
      <c r="E114" s="88"/>
      <c r="F114" s="88"/>
      <c r="G114" s="88"/>
      <c r="H114" s="88"/>
      <c r="I114" s="88"/>
      <c r="J114" s="88"/>
      <c r="K114" s="88"/>
      <c r="L114" s="88"/>
      <c r="M114" s="88"/>
      <c r="N114" s="88"/>
      <c r="O114" s="88"/>
      <c r="P114" s="88"/>
      <c r="Q114" s="88"/>
    </row>
    <row r="115" spans="2:17" ht="12.75">
      <c r="B115" s="88"/>
      <c r="C115" s="88"/>
      <c r="D115" s="88"/>
      <c r="E115" s="88"/>
      <c r="F115" s="88"/>
      <c r="G115" s="88"/>
      <c r="H115" s="88"/>
      <c r="I115" s="88"/>
      <c r="J115" s="88"/>
      <c r="K115" s="88"/>
      <c r="L115" s="88"/>
      <c r="M115" s="88"/>
      <c r="N115" s="88"/>
      <c r="O115" s="88"/>
      <c r="P115" s="88"/>
      <c r="Q115" s="88"/>
    </row>
    <row r="116" spans="2:17" ht="12.75">
      <c r="B116" s="88"/>
      <c r="C116" s="88"/>
      <c r="D116" s="88"/>
      <c r="E116" s="88"/>
      <c r="F116" s="88"/>
      <c r="G116" s="88"/>
      <c r="H116" s="88"/>
      <c r="I116" s="88"/>
      <c r="J116" s="88"/>
      <c r="K116" s="88"/>
      <c r="L116" s="88"/>
      <c r="M116" s="88"/>
      <c r="N116" s="88"/>
      <c r="O116" s="88"/>
      <c r="P116" s="88"/>
      <c r="Q116" s="88"/>
    </row>
    <row r="117" spans="2:17" ht="12.75">
      <c r="B117" s="88"/>
      <c r="C117" s="88"/>
      <c r="D117" s="88"/>
      <c r="E117" s="88"/>
      <c r="F117" s="88"/>
      <c r="G117" s="88"/>
      <c r="H117" s="88"/>
      <c r="I117" s="88"/>
      <c r="J117" s="88"/>
      <c r="K117" s="88"/>
      <c r="L117" s="88"/>
      <c r="M117" s="88"/>
      <c r="N117" s="88"/>
      <c r="O117" s="88"/>
      <c r="P117" s="88"/>
      <c r="Q117" s="88"/>
    </row>
    <row r="118" spans="2:17" ht="12.75">
      <c r="B118" s="88"/>
      <c r="C118" s="88"/>
      <c r="D118" s="88"/>
      <c r="E118" s="88"/>
      <c r="F118" s="88"/>
      <c r="G118" s="88"/>
      <c r="H118" s="88"/>
      <c r="I118" s="88"/>
      <c r="J118" s="88"/>
      <c r="K118" s="88"/>
      <c r="L118" s="88"/>
      <c r="M118" s="88"/>
      <c r="N118" s="88"/>
      <c r="O118" s="88"/>
      <c r="P118" s="88"/>
      <c r="Q118" s="88"/>
    </row>
    <row r="119" spans="2:17" ht="12.75">
      <c r="B119" s="88"/>
      <c r="C119" s="88"/>
      <c r="D119" s="88"/>
      <c r="E119" s="88"/>
      <c r="F119" s="88"/>
      <c r="G119" s="88"/>
      <c r="H119" s="88"/>
      <c r="I119" s="88"/>
      <c r="J119" s="88"/>
      <c r="K119" s="88"/>
      <c r="L119" s="88"/>
      <c r="M119" s="88"/>
      <c r="N119" s="88"/>
      <c r="O119" s="88"/>
      <c r="P119" s="88"/>
      <c r="Q119" s="88"/>
    </row>
    <row r="120" spans="2:17" ht="12.75">
      <c r="B120" s="88"/>
      <c r="C120" s="88"/>
      <c r="D120" s="88"/>
      <c r="E120" s="88"/>
      <c r="F120" s="88"/>
      <c r="G120" s="88"/>
      <c r="H120" s="88"/>
      <c r="I120" s="88"/>
      <c r="J120" s="88"/>
      <c r="K120" s="88"/>
      <c r="L120" s="88"/>
      <c r="M120" s="88"/>
      <c r="N120" s="88"/>
      <c r="O120" s="88"/>
      <c r="P120" s="88"/>
      <c r="Q120" s="88"/>
    </row>
    <row r="121" spans="2:17" ht="12.75">
      <c r="B121" s="88"/>
      <c r="C121" s="88"/>
      <c r="D121" s="88"/>
      <c r="E121" s="88"/>
      <c r="F121" s="88"/>
      <c r="G121" s="88"/>
      <c r="H121" s="88"/>
      <c r="I121" s="88"/>
      <c r="J121" s="88"/>
      <c r="K121" s="88"/>
      <c r="L121" s="88"/>
      <c r="M121" s="88"/>
      <c r="N121" s="88"/>
      <c r="O121" s="88"/>
      <c r="P121" s="88"/>
      <c r="Q121" s="88"/>
    </row>
    <row r="122" spans="2:17" ht="12.75">
      <c r="B122" s="88"/>
      <c r="C122" s="88"/>
      <c r="D122" s="88"/>
      <c r="E122" s="88"/>
      <c r="F122" s="88"/>
      <c r="G122" s="88"/>
      <c r="H122" s="88"/>
      <c r="I122" s="88"/>
      <c r="J122" s="88"/>
      <c r="K122" s="88"/>
      <c r="L122" s="88"/>
      <c r="M122" s="88"/>
      <c r="N122" s="88"/>
      <c r="O122" s="88"/>
      <c r="P122" s="88"/>
      <c r="Q122" s="88"/>
    </row>
    <row r="123" spans="2:17" ht="12.75">
      <c r="B123" s="88" t="s">
        <v>265</v>
      </c>
      <c r="C123" s="88"/>
      <c r="D123" s="88"/>
      <c r="E123" s="88"/>
      <c r="F123" s="88"/>
      <c r="G123" s="88"/>
      <c r="H123" s="88"/>
      <c r="I123" s="88"/>
      <c r="J123" s="88"/>
      <c r="K123" s="88"/>
      <c r="L123" s="88"/>
      <c r="M123" s="88"/>
      <c r="N123" s="88"/>
      <c r="O123" s="88"/>
      <c r="P123" s="88"/>
      <c r="Q123" s="88"/>
    </row>
    <row r="124" spans="2:17" ht="12.75">
      <c r="B124" s="88"/>
      <c r="C124" s="88"/>
      <c r="D124" s="88"/>
      <c r="E124" s="88"/>
      <c r="F124" s="88"/>
      <c r="G124" s="88"/>
      <c r="H124" s="88"/>
      <c r="I124" s="88"/>
      <c r="J124" s="88"/>
      <c r="K124" s="88"/>
      <c r="L124" s="88"/>
      <c r="M124" s="88"/>
      <c r="N124" s="88"/>
      <c r="O124" s="88"/>
      <c r="P124" s="88"/>
      <c r="Q124" s="88"/>
    </row>
    <row r="125" spans="2:17" ht="12.75">
      <c r="B125" s="88"/>
      <c r="C125" s="88"/>
      <c r="D125" s="88"/>
      <c r="E125" s="88"/>
      <c r="F125" s="88"/>
      <c r="G125" s="88"/>
      <c r="H125" s="88"/>
      <c r="I125" s="88"/>
      <c r="J125" s="88"/>
      <c r="K125" s="88"/>
      <c r="L125" s="88"/>
      <c r="M125" s="88"/>
      <c r="N125" s="88"/>
      <c r="O125" s="88"/>
      <c r="P125" s="88"/>
      <c r="Q125" s="88"/>
    </row>
    <row r="126" spans="2:17" ht="12.75">
      <c r="B126" s="88"/>
      <c r="C126" s="88"/>
      <c r="D126" s="88"/>
      <c r="E126" s="88"/>
      <c r="F126" s="88"/>
      <c r="G126" s="88"/>
      <c r="H126" s="88"/>
      <c r="I126" s="88"/>
      <c r="J126" s="88"/>
      <c r="K126" s="88"/>
      <c r="L126" s="88"/>
      <c r="M126" s="88"/>
      <c r="N126" s="88"/>
      <c r="O126" s="88"/>
      <c r="P126" s="88"/>
      <c r="Q126" s="88"/>
    </row>
    <row r="127" spans="2:17" ht="12.75">
      <c r="B127" s="88"/>
      <c r="C127" s="88"/>
      <c r="D127" s="88"/>
      <c r="E127" s="88"/>
      <c r="F127" s="88"/>
      <c r="G127" s="88"/>
      <c r="H127" s="88"/>
      <c r="I127" s="88"/>
      <c r="J127" s="88"/>
      <c r="K127" s="88"/>
      <c r="L127" s="88"/>
      <c r="M127" s="88"/>
      <c r="N127" s="88"/>
      <c r="O127" s="88"/>
      <c r="P127" s="88"/>
      <c r="Q127" s="88"/>
    </row>
    <row r="128" spans="2:17" ht="12.75">
      <c r="B128" s="88"/>
      <c r="C128" s="88"/>
      <c r="D128" s="88"/>
      <c r="E128" s="88"/>
      <c r="F128" s="88"/>
      <c r="G128" s="88"/>
      <c r="H128" s="88"/>
      <c r="I128" s="88"/>
      <c r="J128" s="88"/>
      <c r="K128" s="88"/>
      <c r="L128" s="88"/>
      <c r="M128" s="88"/>
      <c r="N128" s="88"/>
      <c r="O128" s="88"/>
      <c r="P128" s="88"/>
      <c r="Q128" s="88"/>
    </row>
    <row r="129" spans="2:17" ht="12.75">
      <c r="B129" s="88"/>
      <c r="C129" s="88"/>
      <c r="D129" s="88"/>
      <c r="E129" s="88"/>
      <c r="F129" s="88"/>
      <c r="G129" s="88"/>
      <c r="H129" s="88"/>
      <c r="I129" s="88"/>
      <c r="J129" s="88"/>
      <c r="K129" s="88"/>
      <c r="L129" s="88"/>
      <c r="M129" s="88"/>
      <c r="N129" s="88"/>
      <c r="O129" s="88"/>
      <c r="P129" s="88"/>
      <c r="Q129" s="88"/>
    </row>
    <row r="130" spans="2:17" ht="12.75">
      <c r="B130" s="88"/>
      <c r="C130" s="88"/>
      <c r="D130" s="88"/>
      <c r="E130" s="88"/>
      <c r="F130" s="88"/>
      <c r="G130" s="88"/>
      <c r="H130" s="88"/>
      <c r="I130" s="88"/>
      <c r="J130" s="88"/>
      <c r="K130" s="88"/>
      <c r="L130" s="88"/>
      <c r="M130" s="88"/>
      <c r="N130" s="88"/>
      <c r="O130" s="88"/>
      <c r="P130" s="88"/>
      <c r="Q130" s="88"/>
    </row>
    <row r="131" spans="2:17" ht="12.75">
      <c r="B131" s="88"/>
      <c r="C131" s="88"/>
      <c r="D131" s="88"/>
      <c r="E131" s="88"/>
      <c r="F131" s="88"/>
      <c r="G131" s="88"/>
      <c r="H131" s="88"/>
      <c r="I131" s="88"/>
      <c r="J131" s="88"/>
      <c r="K131" s="88"/>
      <c r="L131" s="88"/>
      <c r="M131" s="88"/>
      <c r="N131" s="88"/>
      <c r="O131" s="88"/>
      <c r="P131" s="88"/>
      <c r="Q131" s="88"/>
    </row>
    <row r="132" spans="2:17" ht="12.75">
      <c r="B132" s="88"/>
      <c r="C132" s="88"/>
      <c r="D132" s="88"/>
      <c r="E132" s="88"/>
      <c r="F132" s="88"/>
      <c r="G132" s="88"/>
      <c r="H132" s="88"/>
      <c r="I132" s="88"/>
      <c r="J132" s="88"/>
      <c r="K132" s="88"/>
      <c r="L132" s="88"/>
      <c r="M132" s="88"/>
      <c r="N132" s="88"/>
      <c r="O132" s="88"/>
      <c r="P132" s="88"/>
      <c r="Q132" s="88"/>
    </row>
    <row r="133" spans="2:17" ht="12.75">
      <c r="B133" s="88"/>
      <c r="C133" s="88"/>
      <c r="D133" s="88"/>
      <c r="E133" s="88"/>
      <c r="F133" s="88"/>
      <c r="G133" s="88"/>
      <c r="H133" s="88"/>
      <c r="I133" s="88"/>
      <c r="J133" s="88"/>
      <c r="K133" s="88"/>
      <c r="L133" s="88"/>
      <c r="M133" s="88"/>
      <c r="N133" s="88"/>
      <c r="O133" s="88"/>
      <c r="P133" s="88"/>
      <c r="Q133" s="88"/>
    </row>
    <row r="134" spans="2:17" ht="12.75">
      <c r="B134" s="88"/>
      <c r="C134" s="88"/>
      <c r="D134" s="88"/>
      <c r="E134" s="88"/>
      <c r="F134" s="88"/>
      <c r="G134" s="88"/>
      <c r="H134" s="88"/>
      <c r="I134" s="88"/>
      <c r="J134" s="88"/>
      <c r="K134" s="88"/>
      <c r="L134" s="88"/>
      <c r="M134" s="88"/>
      <c r="N134" s="88"/>
      <c r="O134" s="88"/>
      <c r="P134" s="88"/>
      <c r="Q134" s="88"/>
    </row>
    <row r="135" spans="2:17" ht="12.75">
      <c r="B135" s="88"/>
      <c r="C135" s="88"/>
      <c r="D135" s="88"/>
      <c r="E135" s="88"/>
      <c r="F135" s="88"/>
      <c r="G135" s="88"/>
      <c r="H135" s="88"/>
      <c r="I135" s="88"/>
      <c r="J135" s="88"/>
      <c r="K135" s="88"/>
      <c r="L135" s="88"/>
      <c r="M135" s="88"/>
      <c r="N135" s="88"/>
      <c r="O135" s="88"/>
      <c r="P135" s="88"/>
      <c r="Q135" s="88"/>
    </row>
    <row r="136" spans="2:17" ht="12.75">
      <c r="B136" s="88"/>
      <c r="C136" s="88"/>
      <c r="D136" s="88"/>
      <c r="E136" s="88"/>
      <c r="F136" s="88"/>
      <c r="G136" s="88"/>
      <c r="H136" s="88"/>
      <c r="I136" s="88"/>
      <c r="J136" s="88"/>
      <c r="K136" s="88"/>
      <c r="L136" s="88"/>
      <c r="M136" s="88"/>
      <c r="N136" s="88"/>
      <c r="O136" s="88"/>
      <c r="P136" s="88"/>
      <c r="Q136" s="88"/>
    </row>
    <row r="137" spans="2:17" ht="12.75">
      <c r="B137" s="88"/>
      <c r="C137" s="88"/>
      <c r="D137" s="88"/>
      <c r="E137" s="88"/>
      <c r="F137" s="88"/>
      <c r="G137" s="88"/>
      <c r="H137" s="88"/>
      <c r="I137" s="88"/>
      <c r="J137" s="88"/>
      <c r="K137" s="88"/>
      <c r="L137" s="88"/>
      <c r="M137" s="88"/>
      <c r="N137" s="88"/>
      <c r="O137" s="88"/>
      <c r="P137" s="88"/>
      <c r="Q137" s="88"/>
    </row>
    <row r="138" spans="2:17" ht="12.75">
      <c r="B138" s="88"/>
      <c r="C138" s="88"/>
      <c r="D138" s="88"/>
      <c r="E138" s="88"/>
      <c r="F138" s="88"/>
      <c r="G138" s="88"/>
      <c r="H138" s="88"/>
      <c r="I138" s="88"/>
      <c r="J138" s="88"/>
      <c r="K138" s="88"/>
      <c r="L138" s="88"/>
      <c r="M138" s="88"/>
      <c r="N138" s="88"/>
      <c r="O138" s="88"/>
      <c r="P138" s="88"/>
      <c r="Q138" s="88"/>
    </row>
    <row r="139" spans="2:17" ht="12.75">
      <c r="B139" s="88"/>
      <c r="C139" s="88"/>
      <c r="D139" s="88"/>
      <c r="E139" s="88"/>
      <c r="F139" s="88"/>
      <c r="G139" s="88"/>
      <c r="H139" s="88"/>
      <c r="I139" s="88"/>
      <c r="J139" s="88"/>
      <c r="K139" s="88"/>
      <c r="L139" s="88"/>
      <c r="M139" s="88"/>
      <c r="N139" s="88"/>
      <c r="O139" s="88"/>
      <c r="P139" s="88"/>
      <c r="Q139" s="88"/>
    </row>
    <row r="140" spans="2:17" ht="12.75">
      <c r="B140" s="88"/>
      <c r="C140" s="88"/>
      <c r="D140" s="88"/>
      <c r="E140" s="88"/>
      <c r="F140" s="88"/>
      <c r="G140" s="88"/>
      <c r="H140" s="88"/>
      <c r="I140" s="88"/>
      <c r="J140" s="88"/>
      <c r="K140" s="88"/>
      <c r="L140" s="88"/>
      <c r="M140" s="88"/>
      <c r="N140" s="88"/>
      <c r="O140" s="88"/>
      <c r="P140" s="88"/>
      <c r="Q140" s="88"/>
    </row>
    <row r="141" spans="2:17" ht="12.75">
      <c r="B141" s="88"/>
      <c r="C141" s="88"/>
      <c r="D141" s="88"/>
      <c r="E141" s="88"/>
      <c r="F141" s="88"/>
      <c r="G141" s="88"/>
      <c r="H141" s="88"/>
      <c r="I141" s="88"/>
      <c r="J141" s="88"/>
      <c r="K141" s="88"/>
      <c r="L141" s="88"/>
      <c r="M141" s="88"/>
      <c r="N141" s="88"/>
      <c r="O141" s="88"/>
      <c r="P141" s="88"/>
      <c r="Q141" s="88"/>
    </row>
    <row r="142" spans="2:17" ht="12.75">
      <c r="B142" s="88"/>
      <c r="C142" s="88"/>
      <c r="D142" s="88"/>
      <c r="E142" s="88"/>
      <c r="F142" s="88"/>
      <c r="G142" s="88"/>
      <c r="H142" s="88"/>
      <c r="I142" s="88"/>
      <c r="J142" s="88"/>
      <c r="K142" s="88"/>
      <c r="L142" s="88"/>
      <c r="M142" s="88"/>
      <c r="N142" s="88"/>
      <c r="O142" s="88"/>
      <c r="P142" s="88"/>
      <c r="Q142" s="88"/>
    </row>
    <row r="143" spans="2:17" ht="12.75">
      <c r="B143" s="88"/>
      <c r="C143" s="88"/>
      <c r="D143" s="88"/>
      <c r="E143" s="88"/>
      <c r="F143" s="88"/>
      <c r="G143" s="88"/>
      <c r="H143" s="88"/>
      <c r="I143" s="88"/>
      <c r="J143" s="88"/>
      <c r="K143" s="88"/>
      <c r="L143" s="88"/>
      <c r="M143" s="88"/>
      <c r="N143" s="88"/>
      <c r="O143" s="88"/>
      <c r="P143" s="88"/>
      <c r="Q143" s="88"/>
    </row>
    <row r="144" s="88" customFormat="1" ht="12.75"/>
    <row r="145" s="88" customFormat="1" ht="12.75"/>
    <row r="146" s="88" customFormat="1" ht="12.75"/>
    <row r="147" spans="2:10" s="88" customFormat="1" ht="12.75">
      <c r="B147" s="88" t="s">
        <v>259</v>
      </c>
      <c r="F147" s="88" t="s">
        <v>259</v>
      </c>
      <c r="J147" s="88" t="s">
        <v>259</v>
      </c>
    </row>
    <row r="148" s="88" customFormat="1" ht="12.75"/>
    <row r="149" s="88" customFormat="1" ht="12.75"/>
    <row r="150" s="88" customFormat="1" ht="12.75"/>
    <row r="151" s="88" customFormat="1" ht="12.75"/>
    <row r="152" s="88" customFormat="1" ht="12.75"/>
    <row r="153" s="88" customFormat="1" ht="12.75"/>
    <row r="154" s="88" customFormat="1" ht="12.75"/>
    <row r="155" s="88" customFormat="1" ht="12.75"/>
    <row r="156" s="88" customFormat="1" ht="12.75"/>
    <row r="157" s="88" customFormat="1" ht="12.75"/>
    <row r="158" s="88" customFormat="1" ht="12.75"/>
    <row r="159" s="88" customFormat="1" ht="12.75"/>
    <row r="160" s="88" customFormat="1" ht="12.75"/>
    <row r="161" s="88" customFormat="1" ht="12.75"/>
    <row r="162" s="88" customFormat="1" ht="12.75"/>
    <row r="163" s="88" customFormat="1" ht="12.75"/>
    <row r="164" s="88" customFormat="1" ht="12.75"/>
    <row r="165" s="88" customFormat="1" ht="12.75"/>
    <row r="166" s="88" customFormat="1" ht="12.75"/>
    <row r="167" s="88" customFormat="1" ht="12.75"/>
    <row r="168" s="88" customFormat="1" ht="12.75"/>
    <row r="169" s="88" customFormat="1" ht="12.75"/>
    <row r="170" s="88" customFormat="1" ht="12.75"/>
    <row r="171" s="88" customFormat="1" ht="12.75"/>
    <row r="172" s="88" customFormat="1" ht="12.75"/>
    <row r="173" s="88" customFormat="1" ht="12.75"/>
    <row r="174" s="88" customFormat="1" ht="12.75"/>
    <row r="175" s="88" customFormat="1" ht="12.75"/>
    <row r="176" s="88" customFormat="1" ht="12.75"/>
    <row r="177" s="88" customFormat="1" ht="12.75"/>
    <row r="178" s="88" customFormat="1" ht="12.75"/>
    <row r="179" s="88" customFormat="1" ht="12.75"/>
    <row r="180" s="88" customFormat="1" ht="12.75"/>
    <row r="181" s="88" customFormat="1" ht="12.75"/>
    <row r="182" s="88" customFormat="1" ht="12.75"/>
    <row r="183" s="88" customFormat="1" ht="12.75"/>
    <row r="184" s="88" customFormat="1" ht="12.75"/>
    <row r="185" s="88" customFormat="1" ht="12.75"/>
    <row r="186" s="88" customFormat="1" ht="12.75"/>
    <row r="187" s="88" customFormat="1" ht="12.75"/>
    <row r="188" s="88" customFormat="1" ht="12.75"/>
    <row r="189" s="88" customFormat="1" ht="12.75"/>
    <row r="190" s="88" customFormat="1" ht="12.75"/>
    <row r="191" s="88" customFormat="1" ht="12.75"/>
    <row r="192" s="88" customFormat="1" ht="12.75"/>
    <row r="193" s="88" customFormat="1" ht="12.75"/>
    <row r="194" s="88" customFormat="1" ht="12.75"/>
    <row r="195" s="88" customFormat="1" ht="12.75"/>
    <row r="196" s="88" customFormat="1" ht="12.75"/>
    <row r="197" s="88" customFormat="1" ht="12.75"/>
    <row r="198" s="88" customFormat="1" ht="12.75"/>
    <row r="199" s="88" customFormat="1" ht="12.75"/>
    <row r="200" s="88" customFormat="1" ht="12.75"/>
    <row r="201" s="88" customFormat="1" ht="12.75"/>
    <row r="202" s="88" customFormat="1" ht="12.75"/>
    <row r="203" s="88" customFormat="1" ht="12.75"/>
    <row r="204" s="88" customFormat="1" ht="12.75"/>
    <row r="205" s="88" customFormat="1" ht="12.75"/>
    <row r="206" s="88" customFormat="1" ht="12.75"/>
    <row r="207" s="88" customFormat="1" ht="12.75"/>
    <row r="208" s="88" customFormat="1" ht="12.75"/>
    <row r="209" s="88" customFormat="1" ht="12.75"/>
    <row r="210" s="88" customFormat="1" ht="12.75"/>
    <row r="211" s="88" customFormat="1" ht="12.75"/>
    <row r="212" s="88" customFormat="1" ht="12.75"/>
    <row r="213" s="88" customFormat="1" ht="12.75"/>
    <row r="214" s="88" customFormat="1" ht="12.75"/>
    <row r="215" s="88" customFormat="1" ht="12.75"/>
  </sheetData>
  <sheetProtection sheet="1" objects="1" scenarios="1"/>
  <mergeCells count="5">
    <mergeCell ref="G62:H66"/>
    <mergeCell ref="B46:D55"/>
    <mergeCell ref="E78:F78"/>
    <mergeCell ref="B78:C78"/>
    <mergeCell ref="B77:C77"/>
  </mergeCells>
  <printOptions/>
  <pageMargins left="0.75" right="0.75" top="1" bottom="1" header="0.5" footer="0.5"/>
  <pageSetup fitToHeight="1" fitToWidth="1" horizontalDpi="600" verticalDpi="600" orientation="landscape" scale="59" r:id="rId4"/>
  <drawing r:id="rId3"/>
  <legacyDrawing r:id="rId2"/>
</worksheet>
</file>

<file path=xl/worksheets/sheet3.xml><?xml version="1.0" encoding="utf-8"?>
<worksheet xmlns="http://schemas.openxmlformats.org/spreadsheetml/2006/main" xmlns:r="http://schemas.openxmlformats.org/officeDocument/2006/relationships">
  <sheetPr>
    <tabColor indexed="26"/>
  </sheetPr>
  <dimension ref="A1:L36"/>
  <sheetViews>
    <sheetView workbookViewId="0" topLeftCell="A1">
      <selection activeCell="E20" sqref="E20"/>
    </sheetView>
  </sheetViews>
  <sheetFormatPr defaultColWidth="9.140625" defaultRowHeight="12.75"/>
  <cols>
    <col min="1" max="1" width="20.57421875" style="11" customWidth="1"/>
    <col min="2" max="2" width="11.28125" style="11" customWidth="1"/>
    <col min="3" max="3" width="9.140625" style="11" customWidth="1"/>
    <col min="4" max="4" width="16.7109375" style="11" customWidth="1"/>
    <col min="5" max="5" width="10.28125" style="11" customWidth="1"/>
    <col min="6" max="6" width="10.7109375" style="11" customWidth="1"/>
    <col min="7" max="8" width="9.140625" style="11" customWidth="1"/>
    <col min="9" max="9" width="10.28125" style="11" bestFit="1" customWidth="1"/>
    <col min="10" max="16384" width="9.140625" style="11" customWidth="1"/>
  </cols>
  <sheetData>
    <row r="1" spans="1:7" ht="15.75">
      <c r="A1" s="489" t="s">
        <v>217</v>
      </c>
      <c r="B1" s="354"/>
      <c r="C1" s="354"/>
      <c r="D1" s="354"/>
      <c r="E1" s="354"/>
      <c r="F1" s="354"/>
      <c r="G1" s="354"/>
    </row>
    <row r="2" spans="1:7" ht="12.75">
      <c r="A2" s="355"/>
      <c r="B2" s="355"/>
      <c r="C2" s="355"/>
      <c r="D2" s="355"/>
      <c r="E2" s="355"/>
      <c r="F2" s="355"/>
      <c r="G2" s="355"/>
    </row>
    <row r="3" ht="12.75">
      <c r="A3" s="11" t="s">
        <v>204</v>
      </c>
    </row>
    <row r="4" ht="12.75"/>
    <row r="5" ht="12.75">
      <c r="A5" s="11" t="s">
        <v>172</v>
      </c>
    </row>
    <row r="6" ht="12.75">
      <c r="A6" s="11" t="s">
        <v>173</v>
      </c>
    </row>
    <row r="7" ht="12.75">
      <c r="H7" s="11" t="s">
        <v>252</v>
      </c>
    </row>
    <row r="8" spans="2:12" ht="12.75">
      <c r="B8" s="509" t="s">
        <v>174</v>
      </c>
      <c r="C8" s="510"/>
      <c r="D8" s="308"/>
      <c r="E8" s="509" t="s">
        <v>175</v>
      </c>
      <c r="F8" s="510"/>
      <c r="H8" s="423"/>
      <c r="I8" s="424"/>
      <c r="J8" s="424"/>
      <c r="K8" s="424"/>
      <c r="L8" s="425"/>
    </row>
    <row r="9" spans="2:12" ht="12.75">
      <c r="B9" s="312" t="s">
        <v>197</v>
      </c>
      <c r="C9" s="313" t="s">
        <v>58</v>
      </c>
      <c r="D9" s="356" t="s">
        <v>218</v>
      </c>
      <c r="E9" s="312" t="s">
        <v>178</v>
      </c>
      <c r="F9" s="313" t="s">
        <v>254</v>
      </c>
      <c r="H9" s="426"/>
      <c r="I9" s="357"/>
      <c r="J9" s="357"/>
      <c r="K9" s="357"/>
      <c r="L9" s="427"/>
    </row>
    <row r="10" spans="1:12" ht="13.5" customHeight="1">
      <c r="A10" s="11" t="s">
        <v>198</v>
      </c>
      <c r="B10" s="432">
        <f>D10/16</f>
        <v>38</v>
      </c>
      <c r="C10" s="363">
        <f>+B10/12</f>
        <v>3.1666666666666665</v>
      </c>
      <c r="D10" s="362">
        <v>608</v>
      </c>
      <c r="E10" s="433">
        <f>B10*25.4</f>
        <v>965.1999999999999</v>
      </c>
      <c r="F10" s="434">
        <f>+E10/1000</f>
        <v>0.9652</v>
      </c>
      <c r="H10" s="426"/>
      <c r="I10" s="357"/>
      <c r="J10" s="357"/>
      <c r="K10" s="357"/>
      <c r="L10" s="427"/>
    </row>
    <row r="11" spans="1:12" ht="13.5" customHeight="1">
      <c r="A11" s="11" t="s">
        <v>199</v>
      </c>
      <c r="B11" s="432">
        <f>D11/100</f>
        <v>96</v>
      </c>
      <c r="C11" s="363">
        <f>+B11/12</f>
        <v>8</v>
      </c>
      <c r="D11" s="362">
        <v>9600</v>
      </c>
      <c r="E11" s="433">
        <f>B11*25.4</f>
        <v>2438.3999999999996</v>
      </c>
      <c r="F11" s="434">
        <f>+E11/1000</f>
        <v>2.4383999999999997</v>
      </c>
      <c r="H11" s="426"/>
      <c r="I11" s="357"/>
      <c r="J11" s="357"/>
      <c r="K11" s="357"/>
      <c r="L11" s="427"/>
    </row>
    <row r="12" spans="1:12" ht="13.5" customHeight="1">
      <c r="A12" s="11" t="s">
        <v>200</v>
      </c>
      <c r="B12" s="432">
        <f>D12/16</f>
        <v>32</v>
      </c>
      <c r="C12" s="363">
        <f>+B12/12</f>
        <v>2.6666666666666665</v>
      </c>
      <c r="D12" s="362">
        <v>512</v>
      </c>
      <c r="E12" s="433">
        <f>B12*25.4</f>
        <v>812.8</v>
      </c>
      <c r="F12" s="434">
        <f>+E12/1000</f>
        <v>0.8128</v>
      </c>
      <c r="H12" s="426"/>
      <c r="I12" s="357"/>
      <c r="J12" s="357"/>
      <c r="K12" s="357"/>
      <c r="L12" s="427"/>
    </row>
    <row r="13" spans="1:12" ht="13.5" customHeight="1">
      <c r="A13" s="11" t="s">
        <v>201</v>
      </c>
      <c r="B13" s="432">
        <f>D13/16</f>
        <v>24</v>
      </c>
      <c r="C13" s="363">
        <f>+B13/12</f>
        <v>2</v>
      </c>
      <c r="D13" s="362">
        <v>384</v>
      </c>
      <c r="E13" s="433">
        <f>B13*25.4</f>
        <v>609.5999999999999</v>
      </c>
      <c r="F13" s="434">
        <f>+E13/1000</f>
        <v>0.6095999999999999</v>
      </c>
      <c r="H13" s="426"/>
      <c r="I13" s="357"/>
      <c r="J13" s="357"/>
      <c r="K13" s="357"/>
      <c r="L13" s="427"/>
    </row>
    <row r="14" spans="1:12" ht="13.5" customHeight="1">
      <c r="A14" s="11" t="s">
        <v>255</v>
      </c>
      <c r="B14" s="432">
        <f>D14/16</f>
        <v>1</v>
      </c>
      <c r="C14" s="363">
        <f>+B14/12</f>
        <v>0.08333333333333333</v>
      </c>
      <c r="D14" s="362">
        <v>16</v>
      </c>
      <c r="E14" s="433">
        <f>B14*25.4</f>
        <v>25.4</v>
      </c>
      <c r="F14" s="434">
        <f>+E14/1000</f>
        <v>0.0254</v>
      </c>
      <c r="H14" s="426"/>
      <c r="I14" s="357"/>
      <c r="J14" s="357"/>
      <c r="K14" s="357"/>
      <c r="L14" s="427"/>
    </row>
    <row r="15" spans="1:12" ht="15" customHeight="1">
      <c r="A15" s="513" t="s">
        <v>202</v>
      </c>
      <c r="B15" s="513"/>
      <c r="C15" s="514"/>
      <c r="D15" s="309">
        <f>0.5*344300/D36</f>
        <v>299.5810566747965</v>
      </c>
      <c r="E15" s="11" t="s">
        <v>183</v>
      </c>
      <c r="H15" s="426"/>
      <c r="I15" s="357"/>
      <c r="J15" s="357"/>
      <c r="K15" s="357"/>
      <c r="L15" s="427"/>
    </row>
    <row r="16" spans="1:12" ht="15" customHeight="1">
      <c r="A16" s="513" t="s">
        <v>203</v>
      </c>
      <c r="B16" s="513"/>
      <c r="C16" s="514"/>
      <c r="D16" s="309">
        <f>0.5*344300/B36</f>
        <v>395.9647245361169</v>
      </c>
      <c r="E16" s="11" t="s">
        <v>183</v>
      </c>
      <c r="H16" s="426"/>
      <c r="I16" s="357"/>
      <c r="J16" s="357"/>
      <c r="K16" s="357"/>
      <c r="L16" s="427"/>
    </row>
    <row r="17" spans="1:12" ht="15" customHeight="1">
      <c r="A17" s="511" t="s">
        <v>219</v>
      </c>
      <c r="B17" s="511"/>
      <c r="C17" s="512"/>
      <c r="D17" s="306">
        <f>SQRT(D16*D15)</f>
        <v>344.41766880123123</v>
      </c>
      <c r="E17" s="11" t="s">
        <v>183</v>
      </c>
      <c r="H17" s="426"/>
      <c r="I17" s="357"/>
      <c r="J17" s="357"/>
      <c r="K17" s="357"/>
      <c r="L17" s="427"/>
    </row>
    <row r="18" spans="2:12" ht="12.75">
      <c r="B18" s="310"/>
      <c r="C18" s="310"/>
      <c r="H18" s="426"/>
      <c r="I18" s="435"/>
      <c r="J18" s="357"/>
      <c r="K18" s="357"/>
      <c r="L18" s="427"/>
    </row>
    <row r="19" spans="1:12" ht="12.75">
      <c r="A19" s="11" t="s">
        <v>186</v>
      </c>
      <c r="H19" s="426"/>
      <c r="I19" s="357"/>
      <c r="J19" s="357"/>
      <c r="K19" s="357"/>
      <c r="L19" s="427"/>
    </row>
    <row r="20" spans="2:12" ht="12.75">
      <c r="B20" s="311"/>
      <c r="C20" s="311"/>
      <c r="H20" s="426"/>
      <c r="I20" s="357"/>
      <c r="J20" s="357"/>
      <c r="K20" s="357"/>
      <c r="L20" s="427"/>
    </row>
    <row r="21" spans="2:12" ht="12.75">
      <c r="B21" s="311"/>
      <c r="C21" s="311"/>
      <c r="H21" s="426"/>
      <c r="I21" s="357"/>
      <c r="J21" s="357"/>
      <c r="K21" s="357"/>
      <c r="L21" s="427"/>
    </row>
    <row r="22" spans="2:12" ht="12.75">
      <c r="B22" s="311"/>
      <c r="C22" s="311"/>
      <c r="H22" s="426"/>
      <c r="I22" s="357"/>
      <c r="J22" s="357"/>
      <c r="K22" s="357"/>
      <c r="L22" s="427"/>
    </row>
    <row r="23" spans="2:12" ht="12.75">
      <c r="B23" s="311"/>
      <c r="C23" s="311"/>
      <c r="H23" s="426"/>
      <c r="I23" s="357"/>
      <c r="J23" s="357"/>
      <c r="K23" s="357"/>
      <c r="L23" s="427"/>
    </row>
    <row r="24" spans="1:12" ht="12.75">
      <c r="A24" s="11" t="s">
        <v>224</v>
      </c>
      <c r="B24" s="311"/>
      <c r="C24" s="311"/>
      <c r="H24" s="426"/>
      <c r="I24" s="357"/>
      <c r="J24" s="357"/>
      <c r="K24" s="357"/>
      <c r="L24" s="427"/>
    </row>
    <row r="25" spans="2:12" ht="12.75">
      <c r="B25" s="311"/>
      <c r="C25" s="311"/>
      <c r="H25" s="429"/>
      <c r="I25" s="430"/>
      <c r="J25" s="430"/>
      <c r="K25" s="430"/>
      <c r="L25" s="431"/>
    </row>
    <row r="26" spans="2:3" ht="12.75">
      <c r="B26" s="311"/>
      <c r="C26" s="311"/>
    </row>
    <row r="27" spans="2:3" ht="12.75">
      <c r="B27" s="311"/>
      <c r="C27" s="311"/>
    </row>
    <row r="28" spans="2:3" ht="12.75">
      <c r="B28" s="311"/>
      <c r="C28" s="311"/>
    </row>
    <row r="29" spans="2:3" ht="12.75">
      <c r="B29" s="311"/>
      <c r="C29" s="311"/>
    </row>
    <row r="30" spans="1:5" ht="12.75">
      <c r="A30" s="375" t="s">
        <v>187</v>
      </c>
      <c r="B30" s="422">
        <f>E10/E13</f>
        <v>1.5833333333333335</v>
      </c>
      <c r="C30" s="375"/>
      <c r="D30" s="422">
        <f>E10/E12</f>
        <v>1.1875</v>
      </c>
      <c r="E30" s="375"/>
    </row>
    <row r="31" spans="1:5" ht="12.75">
      <c r="A31" s="375" t="s">
        <v>188</v>
      </c>
      <c r="B31" s="422">
        <f>B30*(E11+E14)/(B30+1)</f>
        <v>1510.0709677419352</v>
      </c>
      <c r="C31" s="375" t="s">
        <v>178</v>
      </c>
      <c r="D31" s="422">
        <f>D30*E11/(D30+1)</f>
        <v>1323.7028571428568</v>
      </c>
      <c r="E31" s="375" t="s">
        <v>178</v>
      </c>
    </row>
    <row r="32" spans="1:5" ht="12.75">
      <c r="A32" s="375" t="s">
        <v>189</v>
      </c>
      <c r="B32" s="422">
        <f>SQRT(E10^2+B31^2)</f>
        <v>1792.184523875001</v>
      </c>
      <c r="C32" s="375" t="s">
        <v>178</v>
      </c>
      <c r="D32" s="422">
        <f>SQRT(E10^2+D31^2)</f>
        <v>1638.2308427105634</v>
      </c>
      <c r="E32" s="375" t="s">
        <v>178</v>
      </c>
    </row>
    <row r="33" spans="1:5" ht="12.75">
      <c r="A33" s="375" t="s">
        <v>190</v>
      </c>
      <c r="B33" s="422">
        <f>E11+E14-B31</f>
        <v>953.7290322580645</v>
      </c>
      <c r="C33" s="375" t="s">
        <v>178</v>
      </c>
      <c r="D33" s="422">
        <f>E11-D31</f>
        <v>1114.6971428571428</v>
      </c>
      <c r="E33" s="375" t="s">
        <v>178</v>
      </c>
    </row>
    <row r="34" spans="1:5" ht="12.75">
      <c r="A34" s="375" t="s">
        <v>191</v>
      </c>
      <c r="B34" s="422">
        <f>SQRT(E13^2+B33^2)</f>
        <v>1131.9060150789483</v>
      </c>
      <c r="C34" s="375" t="s">
        <v>178</v>
      </c>
      <c r="D34" s="422">
        <f>SQRT(E12^2+D33^2)</f>
        <v>1379.5628149141587</v>
      </c>
      <c r="E34" s="375" t="s">
        <v>178</v>
      </c>
    </row>
    <row r="35" spans="1:5" ht="12.75">
      <c r="A35" s="375" t="s">
        <v>192</v>
      </c>
      <c r="B35" s="422">
        <f>SQRT((E10-E13)^2+(E11+E14)^2)</f>
        <v>2489.329588463528</v>
      </c>
      <c r="C35" s="375" t="s">
        <v>178</v>
      </c>
      <c r="D35" s="422">
        <f>SQRT((E10-E12)^2+E11^2)</f>
        <v>2443.157858182725</v>
      </c>
      <c r="E35" s="375" t="s">
        <v>178</v>
      </c>
    </row>
    <row r="36" spans="1:5" ht="12.75">
      <c r="A36" s="375" t="s">
        <v>193</v>
      </c>
      <c r="B36" s="422">
        <f>B34+B32-B35</f>
        <v>434.76095049042124</v>
      </c>
      <c r="C36" s="375" t="s">
        <v>178</v>
      </c>
      <c r="D36" s="422">
        <f>D34+D32-D35</f>
        <v>574.6357994419973</v>
      </c>
      <c r="E36" s="375" t="s">
        <v>178</v>
      </c>
    </row>
  </sheetData>
  <sheetProtection sheet="1" objects="1" scenarios="1"/>
  <mergeCells count="5">
    <mergeCell ref="E8:F8"/>
    <mergeCell ref="B8:C8"/>
    <mergeCell ref="A17:C17"/>
    <mergeCell ref="A15:C15"/>
    <mergeCell ref="A16:C16"/>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indexed="54"/>
  </sheetPr>
  <dimension ref="A1:M68"/>
  <sheetViews>
    <sheetView workbookViewId="0" topLeftCell="A1">
      <selection activeCell="D1" sqref="D1"/>
    </sheetView>
  </sheetViews>
  <sheetFormatPr defaultColWidth="9.140625" defaultRowHeight="12.75"/>
  <cols>
    <col min="1" max="1" width="7.28125" style="0" customWidth="1"/>
    <col min="2" max="5" width="13.7109375" style="0" customWidth="1"/>
    <col min="6" max="6" width="10.57421875" style="0" customWidth="1"/>
    <col min="7" max="10" width="13.7109375" style="0" customWidth="1"/>
  </cols>
  <sheetData>
    <row r="1" spans="1:13" ht="12.75">
      <c r="A1" s="11"/>
      <c r="B1" s="11"/>
      <c r="C1" s="11"/>
      <c r="D1" s="11"/>
      <c r="E1" s="11"/>
      <c r="F1" s="11"/>
      <c r="G1" s="11"/>
      <c r="H1" s="11"/>
      <c r="I1" s="11"/>
      <c r="J1" s="11"/>
      <c r="K1" s="11"/>
      <c r="L1" s="11"/>
      <c r="M1" s="11"/>
    </row>
    <row r="2" spans="1:13" ht="12.75">
      <c r="A2" s="11"/>
      <c r="B2" s="11"/>
      <c r="C2" s="11"/>
      <c r="D2" s="11"/>
      <c r="E2" s="11"/>
      <c r="F2" s="11"/>
      <c r="G2" s="11"/>
      <c r="H2" s="11"/>
      <c r="I2" s="11"/>
      <c r="J2" s="11"/>
      <c r="K2" s="11"/>
      <c r="L2" s="11"/>
      <c r="M2" s="11"/>
    </row>
    <row r="3" spans="1:13" s="166" customFormat="1" ht="19.5" customHeight="1">
      <c r="A3" s="20"/>
      <c r="B3" s="518" t="s">
        <v>126</v>
      </c>
      <c r="C3" s="519"/>
      <c r="D3" s="519"/>
      <c r="E3" s="488"/>
      <c r="F3" s="20"/>
      <c r="G3" s="518" t="s">
        <v>127</v>
      </c>
      <c r="H3" s="519"/>
      <c r="I3" s="519"/>
      <c r="J3" s="488"/>
      <c r="K3" s="20"/>
      <c r="L3" s="20"/>
      <c r="M3" s="20"/>
    </row>
    <row r="4" spans="1:13" ht="15.75" customHeight="1">
      <c r="A4" s="11"/>
      <c r="B4" s="520" t="s">
        <v>128</v>
      </c>
      <c r="C4" s="522" t="s">
        <v>129</v>
      </c>
      <c r="D4" s="523"/>
      <c r="E4" s="524"/>
      <c r="F4" s="11"/>
      <c r="G4" s="520" t="s">
        <v>128</v>
      </c>
      <c r="H4" s="522" t="s">
        <v>130</v>
      </c>
      <c r="I4" s="523"/>
      <c r="J4" s="524"/>
      <c r="K4" s="11"/>
      <c r="L4" s="11"/>
      <c r="M4" s="11"/>
    </row>
    <row r="5" spans="1:13" ht="15.75" customHeight="1">
      <c r="A5" s="11"/>
      <c r="B5" s="521"/>
      <c r="C5" s="164" t="s">
        <v>131</v>
      </c>
      <c r="D5" s="164" t="s">
        <v>132</v>
      </c>
      <c r="E5" s="164" t="s">
        <v>133</v>
      </c>
      <c r="F5" s="11"/>
      <c r="G5" s="521"/>
      <c r="H5" s="164" t="s">
        <v>131</v>
      </c>
      <c r="I5" s="164" t="s">
        <v>132</v>
      </c>
      <c r="J5" s="164" t="s">
        <v>133</v>
      </c>
      <c r="K5" s="11"/>
      <c r="L5" s="11"/>
      <c r="M5" s="11"/>
    </row>
    <row r="6" spans="1:13" s="166" customFormat="1" ht="15" customHeight="1">
      <c r="A6" s="20"/>
      <c r="B6" s="240">
        <v>80</v>
      </c>
      <c r="C6" s="165">
        <v>15.92</v>
      </c>
      <c r="D6" s="165">
        <v>7.96</v>
      </c>
      <c r="E6" s="165">
        <v>3.98</v>
      </c>
      <c r="F6" s="20"/>
      <c r="G6" s="240">
        <v>80</v>
      </c>
      <c r="H6" s="165">
        <v>248.44</v>
      </c>
      <c r="I6" s="165">
        <v>496.88</v>
      </c>
      <c r="J6" s="165">
        <v>993.75</v>
      </c>
      <c r="K6" s="20"/>
      <c r="L6" s="20"/>
      <c r="M6" s="20"/>
    </row>
    <row r="7" spans="1:13" s="166" customFormat="1" ht="15" customHeight="1">
      <c r="A7" s="20"/>
      <c r="B7" s="240">
        <v>100</v>
      </c>
      <c r="C7" s="165">
        <v>12.73</v>
      </c>
      <c r="D7" s="165">
        <v>6.37</v>
      </c>
      <c r="E7" s="165">
        <v>3.18</v>
      </c>
      <c r="F7" s="20"/>
      <c r="G7" s="240">
        <v>100</v>
      </c>
      <c r="H7" s="165">
        <v>198.75</v>
      </c>
      <c r="I7" s="165">
        <v>397.5</v>
      </c>
      <c r="J7" s="165">
        <v>795</v>
      </c>
      <c r="K7" s="20"/>
      <c r="L7" s="20"/>
      <c r="M7" s="20"/>
    </row>
    <row r="8" spans="1:13" s="166" customFormat="1" ht="15" customHeight="1">
      <c r="A8" s="20"/>
      <c r="B8" s="240">
        <v>120</v>
      </c>
      <c r="C8" s="165">
        <v>10.61</v>
      </c>
      <c r="D8" s="165">
        <v>5.31</v>
      </c>
      <c r="E8" s="165">
        <v>2.65</v>
      </c>
      <c r="F8" s="20"/>
      <c r="G8" s="240">
        <v>120</v>
      </c>
      <c r="H8" s="165">
        <v>165.63</v>
      </c>
      <c r="I8" s="165">
        <v>331.25</v>
      </c>
      <c r="J8" s="165">
        <v>662.5</v>
      </c>
      <c r="K8" s="20"/>
      <c r="L8" s="20"/>
      <c r="M8" s="20"/>
    </row>
    <row r="9" spans="1:13" s="166" customFormat="1" ht="15" customHeight="1">
      <c r="A9" s="20"/>
      <c r="B9" s="240">
        <v>150</v>
      </c>
      <c r="C9" s="165">
        <v>8.49</v>
      </c>
      <c r="D9" s="165">
        <v>4.24</v>
      </c>
      <c r="E9" s="165">
        <v>2.12</v>
      </c>
      <c r="F9" s="20"/>
      <c r="G9" s="240">
        <v>150</v>
      </c>
      <c r="H9" s="165">
        <v>132.5</v>
      </c>
      <c r="I9" s="165">
        <v>265</v>
      </c>
      <c r="J9" s="165">
        <v>530</v>
      </c>
      <c r="K9" s="20"/>
      <c r="L9" s="20"/>
      <c r="M9" s="20"/>
    </row>
    <row r="10" spans="1:13" s="166" customFormat="1" ht="15" customHeight="1">
      <c r="A10" s="20"/>
      <c r="B10" s="240">
        <v>200</v>
      </c>
      <c r="C10" s="165">
        <v>6.37</v>
      </c>
      <c r="D10" s="165">
        <v>3.18</v>
      </c>
      <c r="E10" s="165">
        <v>1.59</v>
      </c>
      <c r="F10" s="20"/>
      <c r="G10" s="240">
        <v>200</v>
      </c>
      <c r="H10" s="165">
        <v>99.38</v>
      </c>
      <c r="I10" s="165">
        <v>198.75</v>
      </c>
      <c r="J10" s="165">
        <v>397.5</v>
      </c>
      <c r="K10" s="20"/>
      <c r="L10" s="20"/>
      <c r="M10" s="20"/>
    </row>
    <row r="11" spans="1:13" s="166" customFormat="1" ht="15" customHeight="1">
      <c r="A11" s="20"/>
      <c r="B11" s="240">
        <v>280</v>
      </c>
      <c r="C11" s="165">
        <v>4.55</v>
      </c>
      <c r="D11" s="165">
        <v>2.24</v>
      </c>
      <c r="E11" s="165">
        <v>1.14</v>
      </c>
      <c r="F11" s="20"/>
      <c r="G11" s="240">
        <v>280</v>
      </c>
      <c r="H11" s="165">
        <v>70.98</v>
      </c>
      <c r="I11" s="165">
        <v>141.96</v>
      </c>
      <c r="J11" s="165">
        <v>283.93</v>
      </c>
      <c r="K11" s="20"/>
      <c r="L11" s="20"/>
      <c r="M11" s="20"/>
    </row>
    <row r="12" spans="1:13" s="166" customFormat="1" ht="15" customHeight="1">
      <c r="A12" s="20"/>
      <c r="B12" s="240">
        <v>400</v>
      </c>
      <c r="C12" s="165">
        <v>3.18</v>
      </c>
      <c r="D12" s="165">
        <v>1.59</v>
      </c>
      <c r="E12" s="165">
        <v>0.8</v>
      </c>
      <c r="F12" s="20"/>
      <c r="G12" s="240">
        <v>400</v>
      </c>
      <c r="H12" s="165">
        <v>49.69</v>
      </c>
      <c r="I12" s="165">
        <v>99.38</v>
      </c>
      <c r="J12" s="165">
        <v>198.75</v>
      </c>
      <c r="K12" s="20"/>
      <c r="L12" s="20"/>
      <c r="M12" s="20"/>
    </row>
    <row r="13" spans="1:13" s="166" customFormat="1" ht="15" customHeight="1">
      <c r="A13" s="20"/>
      <c r="B13" s="240">
        <v>600</v>
      </c>
      <c r="C13" s="165">
        <v>2.12</v>
      </c>
      <c r="D13" s="165">
        <v>1.06</v>
      </c>
      <c r="E13" s="165">
        <v>0.53</v>
      </c>
      <c r="F13" s="20"/>
      <c r="G13" s="240">
        <v>600</v>
      </c>
      <c r="H13" s="165">
        <v>33.13</v>
      </c>
      <c r="I13" s="165">
        <v>66.25</v>
      </c>
      <c r="J13" s="165">
        <v>132.5</v>
      </c>
      <c r="K13" s="20"/>
      <c r="L13" s="20"/>
      <c r="M13" s="20"/>
    </row>
    <row r="14" spans="1:13" s="166" customFormat="1" ht="15" customHeight="1">
      <c r="A14" s="20"/>
      <c r="B14" s="240">
        <v>800</v>
      </c>
      <c r="C14" s="165">
        <v>1.59</v>
      </c>
      <c r="D14" s="165">
        <v>0.8</v>
      </c>
      <c r="E14" s="165">
        <v>0.4</v>
      </c>
      <c r="F14" s="20"/>
      <c r="G14" s="240">
        <v>800</v>
      </c>
      <c r="H14" s="165">
        <v>24.84</v>
      </c>
      <c r="I14" s="165">
        <v>49.69</v>
      </c>
      <c r="J14" s="165">
        <v>99.38</v>
      </c>
      <c r="K14" s="20"/>
      <c r="L14" s="20"/>
      <c r="M14" s="20"/>
    </row>
    <row r="15" spans="1:13" s="166" customFormat="1" ht="15" customHeight="1">
      <c r="A15" s="20"/>
      <c r="B15" s="240">
        <v>1000</v>
      </c>
      <c r="C15" s="165">
        <v>1.27</v>
      </c>
      <c r="D15" s="165">
        <v>0.64</v>
      </c>
      <c r="E15" s="165">
        <v>0.32</v>
      </c>
      <c r="F15" s="20"/>
      <c r="G15" s="240">
        <v>1000</v>
      </c>
      <c r="H15" s="165">
        <v>19.88</v>
      </c>
      <c r="I15" s="165">
        <v>39.75</v>
      </c>
      <c r="J15" s="165">
        <v>79.5</v>
      </c>
      <c r="K15" s="20"/>
      <c r="L15" s="20"/>
      <c r="M15" s="20"/>
    </row>
    <row r="16" spans="1:13" s="166" customFormat="1" ht="15" customHeight="1">
      <c r="A16" s="20"/>
      <c r="B16" s="240">
        <v>1200</v>
      </c>
      <c r="C16" s="165">
        <v>1.06</v>
      </c>
      <c r="D16" s="165">
        <v>0.53</v>
      </c>
      <c r="E16" s="165">
        <v>0.27</v>
      </c>
      <c r="F16" s="20"/>
      <c r="G16" s="240">
        <v>1200</v>
      </c>
      <c r="H16" s="165">
        <v>16.56</v>
      </c>
      <c r="I16" s="165">
        <v>33.13</v>
      </c>
      <c r="J16" s="165">
        <v>66.25</v>
      </c>
      <c r="K16" s="20"/>
      <c r="L16" s="20"/>
      <c r="M16" s="20"/>
    </row>
    <row r="17" spans="1:13" s="166" customFormat="1" ht="15" customHeight="1">
      <c r="A17" s="20"/>
      <c r="B17" s="240">
        <v>2000</v>
      </c>
      <c r="C17" s="165">
        <v>0.64</v>
      </c>
      <c r="D17" s="165">
        <v>0.32</v>
      </c>
      <c r="E17" s="165">
        <v>0.16</v>
      </c>
      <c r="F17" s="20"/>
      <c r="G17" s="240">
        <v>2000</v>
      </c>
      <c r="H17" s="165">
        <v>9.94</v>
      </c>
      <c r="I17" s="165">
        <v>19.88</v>
      </c>
      <c r="J17" s="165">
        <v>39.75</v>
      </c>
      <c r="K17" s="20"/>
      <c r="L17" s="20"/>
      <c r="M17" s="20"/>
    </row>
    <row r="18" spans="1:13" s="166" customFormat="1" ht="15" customHeight="1">
      <c r="A18" s="20"/>
      <c r="B18" s="240">
        <v>4000</v>
      </c>
      <c r="C18" s="165">
        <v>0.32</v>
      </c>
      <c r="D18" s="165">
        <v>0.16</v>
      </c>
      <c r="E18" s="165">
        <v>0.08</v>
      </c>
      <c r="F18" s="20"/>
      <c r="G18" s="240">
        <v>4000</v>
      </c>
      <c r="H18" s="165">
        <v>4.97</v>
      </c>
      <c r="I18" s="165">
        <v>9.94</v>
      </c>
      <c r="J18" s="165">
        <v>19.88</v>
      </c>
      <c r="K18" s="20"/>
      <c r="L18" s="20"/>
      <c r="M18" s="20"/>
    </row>
    <row r="19" spans="1:13" s="166" customFormat="1" ht="15" customHeight="1">
      <c r="A19" s="20"/>
      <c r="B19" s="240">
        <v>5000</v>
      </c>
      <c r="C19" s="165">
        <v>0.25</v>
      </c>
      <c r="D19" s="165">
        <v>0.13</v>
      </c>
      <c r="E19" s="165">
        <v>0.06</v>
      </c>
      <c r="F19" s="20"/>
      <c r="G19" s="240">
        <v>5000</v>
      </c>
      <c r="H19" s="165">
        <v>3.98</v>
      </c>
      <c r="I19" s="165">
        <v>7.95</v>
      </c>
      <c r="J19" s="165">
        <v>15.9</v>
      </c>
      <c r="K19" s="20"/>
      <c r="L19" s="20"/>
      <c r="M19" s="20"/>
    </row>
    <row r="20" spans="1:13" s="166" customFormat="1" ht="15" customHeight="1">
      <c r="A20" s="20"/>
      <c r="B20" s="240">
        <v>6000</v>
      </c>
      <c r="C20" s="165">
        <v>0.21</v>
      </c>
      <c r="D20" s="165">
        <v>0.11</v>
      </c>
      <c r="E20" s="165">
        <v>0.05</v>
      </c>
      <c r="F20" s="20"/>
      <c r="G20" s="240">
        <v>6000</v>
      </c>
      <c r="H20" s="165">
        <v>3.31</v>
      </c>
      <c r="I20" s="165">
        <v>6.63</v>
      </c>
      <c r="J20" s="165">
        <v>13.25</v>
      </c>
      <c r="K20" s="20"/>
      <c r="L20" s="20"/>
      <c r="M20" s="20"/>
    </row>
    <row r="21" spans="1:13" s="166" customFormat="1" ht="15" customHeight="1">
      <c r="A21" s="20"/>
      <c r="B21" s="240">
        <v>8000</v>
      </c>
      <c r="C21" s="165">
        <v>0.16</v>
      </c>
      <c r="D21" s="165">
        <v>0.08</v>
      </c>
      <c r="E21" s="165">
        <v>0.04</v>
      </c>
      <c r="F21" s="20"/>
      <c r="G21" s="240">
        <v>8000</v>
      </c>
      <c r="H21" s="165">
        <v>2.48</v>
      </c>
      <c r="I21" s="165">
        <v>4.97</v>
      </c>
      <c r="J21" s="165">
        <v>9.94</v>
      </c>
      <c r="K21" s="20"/>
      <c r="L21" s="20"/>
      <c r="M21" s="20"/>
    </row>
    <row r="22" spans="1:13" s="166" customFormat="1" ht="15" customHeight="1">
      <c r="A22" s="20"/>
      <c r="B22" s="240">
        <v>10000</v>
      </c>
      <c r="C22" s="165">
        <v>0.13</v>
      </c>
      <c r="D22" s="165">
        <v>0.06</v>
      </c>
      <c r="E22" s="165">
        <v>0.03</v>
      </c>
      <c r="F22" s="20"/>
      <c r="G22" s="240">
        <v>10000</v>
      </c>
      <c r="H22" s="165">
        <v>1.99</v>
      </c>
      <c r="I22" s="165">
        <v>3.98</v>
      </c>
      <c r="J22" s="165">
        <v>7.95</v>
      </c>
      <c r="K22" s="20"/>
      <c r="L22" s="20"/>
      <c r="M22" s="20"/>
    </row>
    <row r="23" spans="1:13" s="166" customFormat="1" ht="15" customHeight="1">
      <c r="A23" s="20"/>
      <c r="B23" s="240">
        <v>12000</v>
      </c>
      <c r="C23" s="165">
        <v>0.11</v>
      </c>
      <c r="D23" s="165">
        <v>0.05</v>
      </c>
      <c r="E23" s="165">
        <v>0.03</v>
      </c>
      <c r="F23" s="20"/>
      <c r="G23" s="240">
        <v>12000</v>
      </c>
      <c r="H23" s="165">
        <v>1.66</v>
      </c>
      <c r="I23" s="165">
        <v>3.31</v>
      </c>
      <c r="J23" s="165">
        <v>6.63</v>
      </c>
      <c r="K23" s="20"/>
      <c r="L23" s="20"/>
      <c r="M23" s="20"/>
    </row>
    <row r="24" spans="1:13" ht="12.75">
      <c r="A24" s="11"/>
      <c r="B24" s="515"/>
      <c r="C24" s="515"/>
      <c r="D24" s="515"/>
      <c r="E24" s="515"/>
      <c r="F24" s="11"/>
      <c r="G24" s="515"/>
      <c r="H24" s="515"/>
      <c r="I24" s="515"/>
      <c r="J24" s="515"/>
      <c r="K24" s="11"/>
      <c r="L24" s="11"/>
      <c r="M24" s="11"/>
    </row>
    <row r="25" spans="1:13" ht="12.75">
      <c r="A25" s="11"/>
      <c r="B25" s="516" t="s">
        <v>157</v>
      </c>
      <c r="C25" s="516"/>
      <c r="D25" s="516"/>
      <c r="E25" s="516"/>
      <c r="F25" s="517"/>
      <c r="G25" s="517"/>
      <c r="H25" s="517"/>
      <c r="I25" s="517"/>
      <c r="J25" s="517"/>
      <c r="K25" s="11"/>
      <c r="L25" s="11"/>
      <c r="M25" s="11"/>
    </row>
    <row r="26" spans="1:13" ht="12.75">
      <c r="A26" s="11"/>
      <c r="B26" s="11"/>
      <c r="C26" s="11"/>
      <c r="D26" s="11"/>
      <c r="E26" s="11"/>
      <c r="F26" s="11"/>
      <c r="G26" s="11"/>
      <c r="H26" s="11"/>
      <c r="I26" s="11"/>
      <c r="J26" s="11"/>
      <c r="K26" s="11"/>
      <c r="L26" s="11"/>
      <c r="M26" s="11"/>
    </row>
    <row r="27" spans="1:13" ht="12.75">
      <c r="A27" s="11"/>
      <c r="B27" s="11"/>
      <c r="C27" s="11"/>
      <c r="D27" s="11"/>
      <c r="E27" s="11"/>
      <c r="F27" s="11"/>
      <c r="G27" s="11"/>
      <c r="H27" s="11"/>
      <c r="I27" s="11"/>
      <c r="J27" s="11"/>
      <c r="K27" s="11"/>
      <c r="L27" s="11"/>
      <c r="M27" s="11"/>
    </row>
    <row r="28" spans="1:13" ht="12.75">
      <c r="A28" s="11"/>
      <c r="B28" s="11"/>
      <c r="C28" s="11"/>
      <c r="D28" s="11"/>
      <c r="E28" s="11"/>
      <c r="F28" s="11"/>
      <c r="G28" s="11"/>
      <c r="H28" s="11"/>
      <c r="I28" s="11"/>
      <c r="J28" s="11"/>
      <c r="K28" s="11"/>
      <c r="L28" s="11"/>
      <c r="M28" s="11"/>
    </row>
    <row r="29" spans="1:13" ht="12.75">
      <c r="A29" s="11"/>
      <c r="B29" s="11"/>
      <c r="C29" s="11"/>
      <c r="D29" s="11"/>
      <c r="E29" s="11"/>
      <c r="F29" s="11"/>
      <c r="G29" s="11"/>
      <c r="H29" s="11"/>
      <c r="I29" s="11"/>
      <c r="J29" s="11"/>
      <c r="K29" s="11"/>
      <c r="L29" s="11"/>
      <c r="M29" s="11"/>
    </row>
    <row r="30" spans="1:13" ht="12.75">
      <c r="A30" s="11"/>
      <c r="B30" s="11"/>
      <c r="C30" s="11"/>
      <c r="D30" s="11"/>
      <c r="E30" s="11"/>
      <c r="F30" s="11"/>
      <c r="G30" s="11"/>
      <c r="H30" s="11"/>
      <c r="I30" s="11"/>
      <c r="J30" s="11"/>
      <c r="K30" s="11"/>
      <c r="L30" s="11"/>
      <c r="M30" s="11"/>
    </row>
    <row r="31" spans="1:13" ht="12.75">
      <c r="A31" s="11"/>
      <c r="B31" s="11"/>
      <c r="C31" s="11"/>
      <c r="D31" s="11"/>
      <c r="E31" s="11"/>
      <c r="F31" s="11"/>
      <c r="G31" s="11"/>
      <c r="H31" s="11"/>
      <c r="I31" s="11"/>
      <c r="J31" s="11"/>
      <c r="K31" s="11"/>
      <c r="L31" s="11"/>
      <c r="M31" s="11"/>
    </row>
    <row r="32" spans="1:13" ht="12.75">
      <c r="A32" s="11"/>
      <c r="B32" s="11"/>
      <c r="C32" s="11"/>
      <c r="D32" s="11"/>
      <c r="E32" s="11"/>
      <c r="F32" s="11"/>
      <c r="G32" s="11"/>
      <c r="H32" s="11"/>
      <c r="I32" s="11"/>
      <c r="J32" s="11"/>
      <c r="K32" s="11"/>
      <c r="L32" s="11"/>
      <c r="M32" s="11"/>
    </row>
    <row r="33" spans="1:13" ht="12.75">
      <c r="A33" s="11"/>
      <c r="B33" s="11"/>
      <c r="C33" s="11"/>
      <c r="D33" s="11"/>
      <c r="E33" s="11"/>
      <c r="F33" s="11"/>
      <c r="G33" s="11"/>
      <c r="H33" s="11"/>
      <c r="I33" s="11"/>
      <c r="J33" s="11"/>
      <c r="K33" s="11"/>
      <c r="L33" s="11"/>
      <c r="M33" s="11"/>
    </row>
    <row r="34" spans="1:13" ht="12.75">
      <c r="A34" s="11"/>
      <c r="B34" s="11"/>
      <c r="C34" s="11"/>
      <c r="D34" s="11"/>
      <c r="E34" s="11"/>
      <c r="F34" s="11"/>
      <c r="G34" s="11"/>
      <c r="H34" s="11"/>
      <c r="I34" s="11"/>
      <c r="J34" s="11"/>
      <c r="K34" s="11"/>
      <c r="L34" s="11"/>
      <c r="M34" s="11"/>
    </row>
    <row r="35" spans="1:13" ht="12.75">
      <c r="A35" s="11"/>
      <c r="B35" s="11"/>
      <c r="C35" s="11"/>
      <c r="D35" s="11"/>
      <c r="E35" s="11"/>
      <c r="F35" s="11"/>
      <c r="G35" s="11"/>
      <c r="H35" s="11"/>
      <c r="I35" s="11"/>
      <c r="J35" s="11"/>
      <c r="K35" s="11"/>
      <c r="L35" s="11"/>
      <c r="M35" s="11"/>
    </row>
    <row r="36" spans="1:13" ht="12.75">
      <c r="A36" s="11"/>
      <c r="B36" s="11"/>
      <c r="C36" s="11"/>
      <c r="D36" s="11"/>
      <c r="E36" s="11"/>
      <c r="F36" s="11"/>
      <c r="G36" s="11"/>
      <c r="H36" s="11"/>
      <c r="I36" s="11"/>
      <c r="J36" s="11"/>
      <c r="K36" s="11"/>
      <c r="L36" s="11"/>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pans="1:13" ht="12.75">
      <c r="A44" s="11"/>
      <c r="B44" s="11"/>
      <c r="C44" s="11"/>
      <c r="D44" s="11"/>
      <c r="E44" s="11"/>
      <c r="F44" s="11"/>
      <c r="G44" s="11"/>
      <c r="H44" s="11"/>
      <c r="I44" s="11"/>
      <c r="J44" s="11"/>
      <c r="K44" s="11"/>
      <c r="L44" s="11"/>
      <c r="M44" s="11"/>
    </row>
    <row r="45" spans="1:13" ht="12.75">
      <c r="A45" s="11"/>
      <c r="B45" s="11"/>
      <c r="C45" s="11"/>
      <c r="D45" s="11"/>
      <c r="E45" s="11"/>
      <c r="F45" s="11"/>
      <c r="G45" s="11"/>
      <c r="H45" s="11"/>
      <c r="I45" s="11"/>
      <c r="J45" s="11"/>
      <c r="K45" s="11"/>
      <c r="L45" s="11"/>
      <c r="M45" s="11"/>
    </row>
    <row r="46" spans="1:13" ht="12.75">
      <c r="A46" s="11"/>
      <c r="B46" s="11"/>
      <c r="C46" s="11"/>
      <c r="D46" s="11"/>
      <c r="E46" s="11"/>
      <c r="F46" s="11"/>
      <c r="G46" s="11"/>
      <c r="H46" s="11"/>
      <c r="I46" s="11"/>
      <c r="J46" s="11"/>
      <c r="K46" s="11"/>
      <c r="L46" s="11"/>
      <c r="M46" s="11"/>
    </row>
    <row r="47" spans="1:13" ht="12.75">
      <c r="A47" s="11"/>
      <c r="B47" s="11"/>
      <c r="C47" s="11"/>
      <c r="D47" s="11"/>
      <c r="E47" s="11"/>
      <c r="F47" s="11"/>
      <c r="G47" s="11"/>
      <c r="H47" s="11"/>
      <c r="I47" s="11"/>
      <c r="J47" s="11"/>
      <c r="K47" s="11"/>
      <c r="L47" s="11"/>
      <c r="M47" s="11"/>
    </row>
    <row r="48" spans="1:13" ht="12.75">
      <c r="A48" s="11"/>
      <c r="B48" s="11"/>
      <c r="C48" s="11"/>
      <c r="D48" s="11"/>
      <c r="E48" s="11"/>
      <c r="F48" s="11"/>
      <c r="G48" s="11"/>
      <c r="H48" s="11"/>
      <c r="I48" s="11"/>
      <c r="J48" s="11"/>
      <c r="K48" s="11"/>
      <c r="L48" s="11"/>
      <c r="M48" s="11"/>
    </row>
    <row r="49" spans="1:13" ht="12.75">
      <c r="A49" s="11"/>
      <c r="B49" s="11"/>
      <c r="C49" s="11"/>
      <c r="D49" s="11"/>
      <c r="E49" s="11"/>
      <c r="F49" s="11"/>
      <c r="G49" s="11"/>
      <c r="H49" s="11"/>
      <c r="I49" s="11"/>
      <c r="J49" s="11"/>
      <c r="K49" s="11"/>
      <c r="L49" s="11"/>
      <c r="M49" s="11"/>
    </row>
    <row r="50" spans="1:13" ht="12.75">
      <c r="A50" s="11"/>
      <c r="B50" s="11"/>
      <c r="C50" s="11"/>
      <c r="D50" s="11"/>
      <c r="E50" s="11"/>
      <c r="F50" s="11"/>
      <c r="G50" s="11"/>
      <c r="H50" s="11"/>
      <c r="I50" s="11"/>
      <c r="J50" s="11"/>
      <c r="K50" s="11"/>
      <c r="L50" s="11"/>
      <c r="M50" s="11"/>
    </row>
    <row r="51" spans="1:13" ht="12.75">
      <c r="A51" s="11"/>
      <c r="B51" s="11"/>
      <c r="C51" s="11"/>
      <c r="D51" s="11"/>
      <c r="E51" s="11"/>
      <c r="F51" s="11"/>
      <c r="G51" s="11"/>
      <c r="H51" s="11"/>
      <c r="I51" s="11"/>
      <c r="J51" s="11"/>
      <c r="K51" s="11"/>
      <c r="L51" s="11"/>
      <c r="M51" s="11"/>
    </row>
    <row r="52" spans="1:13" ht="12.75">
      <c r="A52" s="11"/>
      <c r="B52" s="11"/>
      <c r="C52" s="11"/>
      <c r="D52" s="11"/>
      <c r="E52" s="11"/>
      <c r="F52" s="11"/>
      <c r="G52" s="11"/>
      <c r="H52" s="11"/>
      <c r="I52" s="11"/>
      <c r="J52" s="11"/>
      <c r="K52" s="11"/>
      <c r="L52" s="11"/>
      <c r="M52" s="11"/>
    </row>
    <row r="53" spans="1:13" ht="12.75">
      <c r="A53" s="11"/>
      <c r="B53" s="11"/>
      <c r="C53" s="11"/>
      <c r="D53" s="11"/>
      <c r="E53" s="11"/>
      <c r="F53" s="11"/>
      <c r="G53" s="11"/>
      <c r="H53" s="11"/>
      <c r="I53" s="11"/>
      <c r="J53" s="11"/>
      <c r="K53" s="11"/>
      <c r="L53" s="11"/>
      <c r="M53" s="11"/>
    </row>
    <row r="54" spans="1:13" ht="12.75">
      <c r="A54" s="11"/>
      <c r="B54" s="11"/>
      <c r="C54" s="11"/>
      <c r="D54" s="11"/>
      <c r="E54" s="11"/>
      <c r="F54" s="11"/>
      <c r="G54" s="11"/>
      <c r="H54" s="11"/>
      <c r="I54" s="11"/>
      <c r="J54" s="11"/>
      <c r="K54" s="11"/>
      <c r="L54" s="11"/>
      <c r="M54" s="11"/>
    </row>
    <row r="55" spans="1:13" ht="12.75">
      <c r="A55" s="11"/>
      <c r="B55" s="11"/>
      <c r="C55" s="11"/>
      <c r="D55" s="11"/>
      <c r="E55" s="11"/>
      <c r="F55" s="11"/>
      <c r="G55" s="11"/>
      <c r="H55" s="11"/>
      <c r="I55" s="11"/>
      <c r="J55" s="11"/>
      <c r="K55" s="11"/>
      <c r="L55" s="11"/>
      <c r="M55" s="11"/>
    </row>
    <row r="56" spans="1:13" ht="12.75">
      <c r="A56" s="11"/>
      <c r="B56" s="11"/>
      <c r="C56" s="11"/>
      <c r="D56" s="11"/>
      <c r="E56" s="11"/>
      <c r="F56" s="11"/>
      <c r="G56" s="11"/>
      <c r="H56" s="11"/>
      <c r="I56" s="11"/>
      <c r="J56" s="11"/>
      <c r="K56" s="11"/>
      <c r="L56" s="11"/>
      <c r="M56" s="11"/>
    </row>
    <row r="57" spans="1:13" ht="12.75">
      <c r="A57" s="11"/>
      <c r="B57" s="11"/>
      <c r="C57" s="11"/>
      <c r="D57" s="11"/>
      <c r="E57" s="11"/>
      <c r="F57" s="11"/>
      <c r="G57" s="11"/>
      <c r="H57" s="11"/>
      <c r="I57" s="11"/>
      <c r="J57" s="11"/>
      <c r="K57" s="11"/>
      <c r="L57" s="11"/>
      <c r="M57" s="11"/>
    </row>
    <row r="58" spans="1:13" ht="12.75">
      <c r="A58" s="11"/>
      <c r="B58" s="11"/>
      <c r="C58" s="11"/>
      <c r="D58" s="11"/>
      <c r="E58" s="11"/>
      <c r="F58" s="11"/>
      <c r="G58" s="11"/>
      <c r="H58" s="11"/>
      <c r="I58" s="11"/>
      <c r="J58" s="11"/>
      <c r="K58" s="11"/>
      <c r="L58" s="11"/>
      <c r="M58" s="11"/>
    </row>
    <row r="59" spans="1:13" ht="12.75">
      <c r="A59" s="11"/>
      <c r="B59" s="11"/>
      <c r="C59" s="11"/>
      <c r="D59" s="11"/>
      <c r="E59" s="11"/>
      <c r="F59" s="11"/>
      <c r="G59" s="11"/>
      <c r="H59" s="11"/>
      <c r="I59" s="11"/>
      <c r="J59" s="11"/>
      <c r="K59" s="11"/>
      <c r="L59" s="11"/>
      <c r="M59" s="11"/>
    </row>
    <row r="60" spans="1:13" ht="12.75">
      <c r="A60" s="11"/>
      <c r="B60" s="11"/>
      <c r="C60" s="11"/>
      <c r="D60" s="11"/>
      <c r="E60" s="11"/>
      <c r="F60" s="11"/>
      <c r="G60" s="11"/>
      <c r="H60" s="11"/>
      <c r="I60" s="11"/>
      <c r="J60" s="11"/>
      <c r="K60" s="11"/>
      <c r="L60" s="11"/>
      <c r="M60" s="11"/>
    </row>
    <row r="61" spans="1:13" ht="12.75">
      <c r="A61" s="11"/>
      <c r="B61" s="11"/>
      <c r="C61" s="11"/>
      <c r="D61" s="11"/>
      <c r="E61" s="11"/>
      <c r="F61" s="11"/>
      <c r="G61" s="11"/>
      <c r="H61" s="11"/>
      <c r="I61" s="11"/>
      <c r="J61" s="11"/>
      <c r="K61" s="11"/>
      <c r="L61" s="11"/>
      <c r="M61" s="11"/>
    </row>
    <row r="62" spans="1:13" ht="12.75">
      <c r="A62" s="11"/>
      <c r="B62" s="11"/>
      <c r="C62" s="11"/>
      <c r="D62" s="11"/>
      <c r="E62" s="11"/>
      <c r="F62" s="11"/>
      <c r="G62" s="11"/>
      <c r="H62" s="11"/>
      <c r="I62" s="11"/>
      <c r="J62" s="11"/>
      <c r="K62" s="11"/>
      <c r="L62" s="11"/>
      <c r="M62" s="11"/>
    </row>
    <row r="63" spans="1:13" ht="12.75">
      <c r="A63" s="11"/>
      <c r="B63" s="11"/>
      <c r="C63" s="11"/>
      <c r="D63" s="11"/>
      <c r="E63" s="11"/>
      <c r="F63" s="11"/>
      <c r="G63" s="11"/>
      <c r="H63" s="11"/>
      <c r="I63" s="11"/>
      <c r="J63" s="11"/>
      <c r="K63" s="11"/>
      <c r="L63" s="11"/>
      <c r="M63" s="11"/>
    </row>
    <row r="64" spans="1:13" ht="12.75">
      <c r="A64" s="11"/>
      <c r="B64" s="11"/>
      <c r="C64" s="11"/>
      <c r="D64" s="11"/>
      <c r="E64" s="11"/>
      <c r="F64" s="11"/>
      <c r="G64" s="11"/>
      <c r="H64" s="11"/>
      <c r="I64" s="11"/>
      <c r="J64" s="11"/>
      <c r="K64" s="11"/>
      <c r="L64" s="11"/>
      <c r="M64" s="11"/>
    </row>
    <row r="65" spans="1:13" ht="12.75">
      <c r="A65" s="11"/>
      <c r="B65" s="11"/>
      <c r="C65" s="11"/>
      <c r="D65" s="11"/>
      <c r="E65" s="11"/>
      <c r="F65" s="11"/>
      <c r="G65" s="11"/>
      <c r="H65" s="11"/>
      <c r="I65" s="11"/>
      <c r="J65" s="11"/>
      <c r="K65" s="11"/>
      <c r="L65" s="11"/>
      <c r="M65" s="11"/>
    </row>
    <row r="66" spans="1:13" ht="12.75">
      <c r="A66" s="11"/>
      <c r="B66" s="11"/>
      <c r="C66" s="11"/>
      <c r="D66" s="11"/>
      <c r="E66" s="11"/>
      <c r="F66" s="11"/>
      <c r="G66" s="11"/>
      <c r="H66" s="11"/>
      <c r="I66" s="11"/>
      <c r="J66" s="11"/>
      <c r="K66" s="11"/>
      <c r="L66" s="11"/>
      <c r="M66" s="11"/>
    </row>
    <row r="67" spans="1:13" ht="12.75">
      <c r="A67" s="11"/>
      <c r="B67" s="11"/>
      <c r="C67" s="11"/>
      <c r="D67" s="11"/>
      <c r="E67" s="11"/>
      <c r="F67" s="11"/>
      <c r="G67" s="11"/>
      <c r="H67" s="11"/>
      <c r="I67" s="11"/>
      <c r="J67" s="11"/>
      <c r="K67" s="11"/>
      <c r="L67" s="11"/>
      <c r="M67" s="11"/>
    </row>
    <row r="68" spans="1:13" ht="12.75">
      <c r="A68" s="11"/>
      <c r="B68" s="11"/>
      <c r="C68" s="11"/>
      <c r="D68" s="11"/>
      <c r="E68" s="11"/>
      <c r="F68" s="11"/>
      <c r="G68" s="11"/>
      <c r="H68" s="11"/>
      <c r="I68" s="11"/>
      <c r="J68" s="11"/>
      <c r="K68" s="11"/>
      <c r="L68" s="11"/>
      <c r="M68" s="11"/>
    </row>
  </sheetData>
  <sheetProtection sheet="1" objects="1" scenarios="1"/>
  <mergeCells count="9">
    <mergeCell ref="B24:E24"/>
    <mergeCell ref="G24:J24"/>
    <mergeCell ref="B25:J25"/>
    <mergeCell ref="B3:E3"/>
    <mergeCell ref="G3:J3"/>
    <mergeCell ref="B4:B5"/>
    <mergeCell ref="C4:E4"/>
    <mergeCell ref="G4:G5"/>
    <mergeCell ref="H4:J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21"/>
  </sheetPr>
  <dimension ref="A1:K43"/>
  <sheetViews>
    <sheetView workbookViewId="0" topLeftCell="A1">
      <selection activeCell="F18" sqref="F18"/>
    </sheetView>
  </sheetViews>
  <sheetFormatPr defaultColWidth="9.140625" defaultRowHeight="12.75"/>
  <cols>
    <col min="1" max="1" width="29.28125" style="11" customWidth="1"/>
    <col min="2" max="2" width="14.8515625" style="11" customWidth="1"/>
    <col min="3" max="3" width="6.57421875" style="11" customWidth="1"/>
    <col min="4" max="4" width="9.7109375" style="11" customWidth="1"/>
    <col min="5" max="5" width="5.7109375" style="11" customWidth="1"/>
    <col min="6" max="6" width="14.7109375" style="11" customWidth="1"/>
    <col min="7" max="7" width="9.8515625" style="11" customWidth="1"/>
    <col min="8" max="8" width="9.140625" style="11" customWidth="1"/>
    <col min="9" max="9" width="6.57421875" style="11" customWidth="1"/>
    <col min="10" max="10" width="7.7109375" style="11" customWidth="1"/>
    <col min="11" max="11" width="10.7109375" style="11" customWidth="1"/>
    <col min="12" max="16384" width="9.140625" style="11" customWidth="1"/>
  </cols>
  <sheetData>
    <row r="1" spans="1:11" ht="18">
      <c r="A1" s="370" t="s">
        <v>236</v>
      </c>
      <c r="B1" s="370"/>
      <c r="C1" s="370"/>
      <c r="D1" s="370"/>
      <c r="E1" s="370"/>
      <c r="F1" s="370"/>
      <c r="G1" s="370"/>
      <c r="H1" s="370"/>
      <c r="I1" s="370"/>
      <c r="J1" s="370"/>
      <c r="K1" s="408"/>
    </row>
    <row r="2" spans="1:10" ht="11.25" customHeight="1">
      <c r="A2" s="371"/>
      <c r="B2" s="371"/>
      <c r="C2" s="371"/>
      <c r="D2" s="371"/>
      <c r="E2" s="371"/>
      <c r="F2" s="371"/>
      <c r="G2" s="371"/>
      <c r="H2" s="371"/>
      <c r="I2" s="371"/>
      <c r="J2" s="371"/>
    </row>
    <row r="3" ht="12.75">
      <c r="A3" s="11" t="s">
        <v>235</v>
      </c>
    </row>
    <row r="4" ht="12.75">
      <c r="A4" s="11" t="s">
        <v>237</v>
      </c>
    </row>
    <row r="5" ht="13.5" thickBot="1"/>
    <row r="6" spans="1:6" ht="16.5" customHeight="1">
      <c r="A6" s="380" t="s">
        <v>238</v>
      </c>
      <c r="B6" s="525" t="s">
        <v>250</v>
      </c>
      <c r="C6" s="526"/>
      <c r="D6" s="526"/>
      <c r="E6" s="526"/>
      <c r="F6" s="527"/>
    </row>
    <row r="7" spans="1:6" ht="15" customHeight="1">
      <c r="A7" s="381" t="s">
        <v>227</v>
      </c>
      <c r="B7" s="373">
        <f aca="true" t="shared" si="0" ref="B7:B14">F7/10</f>
        <v>19</v>
      </c>
      <c r="C7" s="368" t="s">
        <v>178</v>
      </c>
      <c r="D7" s="374">
        <f>B7/25.4</f>
        <v>0.7480314960629921</v>
      </c>
      <c r="E7" s="369" t="s">
        <v>177</v>
      </c>
      <c r="F7" s="403">
        <v>190</v>
      </c>
    </row>
    <row r="8" spans="1:6" ht="15" customHeight="1">
      <c r="A8" s="381" t="s">
        <v>239</v>
      </c>
      <c r="B8" s="373">
        <f t="shared" si="0"/>
        <v>254.7</v>
      </c>
      <c r="C8" s="368" t="s">
        <v>178</v>
      </c>
      <c r="D8" s="374">
        <f aca="true" t="shared" si="1" ref="D8:D15">B8/25.4</f>
        <v>10.027559055118111</v>
      </c>
      <c r="E8" s="369" t="s">
        <v>177</v>
      </c>
      <c r="F8" s="403">
        <v>2547</v>
      </c>
    </row>
    <row r="9" spans="1:6" ht="15" customHeight="1">
      <c r="A9" s="381" t="s">
        <v>240</v>
      </c>
      <c r="B9" s="373">
        <f t="shared" si="0"/>
        <v>280</v>
      </c>
      <c r="C9" s="368" t="s">
        <v>178</v>
      </c>
      <c r="D9" s="374">
        <f t="shared" si="1"/>
        <v>11.023622047244094</v>
      </c>
      <c r="E9" s="367" t="s">
        <v>177</v>
      </c>
      <c r="F9" s="403">
        <v>2800</v>
      </c>
    </row>
    <row r="10" spans="1:6" ht="15" customHeight="1">
      <c r="A10" s="381" t="s">
        <v>241</v>
      </c>
      <c r="B10" s="373">
        <f t="shared" si="0"/>
        <v>254</v>
      </c>
      <c r="C10" s="368" t="s">
        <v>178</v>
      </c>
      <c r="D10" s="374">
        <f t="shared" si="1"/>
        <v>10</v>
      </c>
      <c r="E10" s="367" t="s">
        <v>177</v>
      </c>
      <c r="F10" s="403">
        <v>2540</v>
      </c>
    </row>
    <row r="11" spans="1:6" ht="15" customHeight="1">
      <c r="A11" s="381" t="s">
        <v>242</v>
      </c>
      <c r="B11" s="373">
        <f t="shared" si="0"/>
        <v>152</v>
      </c>
      <c r="C11" s="368" t="s">
        <v>178</v>
      </c>
      <c r="D11" s="374">
        <f t="shared" si="1"/>
        <v>5.984251968503937</v>
      </c>
      <c r="E11" s="367" t="s">
        <v>177</v>
      </c>
      <c r="F11" s="403">
        <v>1520</v>
      </c>
    </row>
    <row r="12" spans="1:6" ht="15" customHeight="1">
      <c r="A12" s="381" t="s">
        <v>243</v>
      </c>
      <c r="B12" s="373">
        <f t="shared" si="0"/>
        <v>130</v>
      </c>
      <c r="C12" s="368" t="s">
        <v>178</v>
      </c>
      <c r="D12" s="374">
        <f t="shared" si="1"/>
        <v>5.118110236220473</v>
      </c>
      <c r="E12" s="369" t="s">
        <v>177</v>
      </c>
      <c r="F12" s="403">
        <v>1300</v>
      </c>
    </row>
    <row r="13" spans="1:6" ht="15" customHeight="1">
      <c r="A13" s="381" t="s">
        <v>244</v>
      </c>
      <c r="B13" s="373">
        <f t="shared" si="0"/>
        <v>66.5</v>
      </c>
      <c r="C13" s="368" t="s">
        <v>178</v>
      </c>
      <c r="D13" s="374">
        <f t="shared" si="1"/>
        <v>2.6181102362204727</v>
      </c>
      <c r="E13" s="367" t="s">
        <v>177</v>
      </c>
      <c r="F13" s="403">
        <v>665</v>
      </c>
    </row>
    <row r="14" spans="1:6" ht="15" customHeight="1" thickBot="1">
      <c r="A14" s="382" t="s">
        <v>245</v>
      </c>
      <c r="B14" s="383">
        <f t="shared" si="0"/>
        <v>5</v>
      </c>
      <c r="C14" s="384" t="s">
        <v>178</v>
      </c>
      <c r="D14" s="406">
        <f t="shared" si="1"/>
        <v>0.1968503937007874</v>
      </c>
      <c r="E14" s="385" t="s">
        <v>177</v>
      </c>
      <c r="F14" s="404">
        <v>50</v>
      </c>
    </row>
    <row r="15" spans="1:10" ht="13.5" customHeight="1">
      <c r="A15" s="375" t="s">
        <v>228</v>
      </c>
      <c r="B15" s="378">
        <f>B11-B14-B13</f>
        <v>80.5</v>
      </c>
      <c r="C15" s="379" t="s">
        <v>178</v>
      </c>
      <c r="D15" s="378">
        <f t="shared" si="1"/>
        <v>3.1692913385826773</v>
      </c>
      <c r="E15" s="375" t="s">
        <v>177</v>
      </c>
      <c r="F15" s="405"/>
      <c r="I15" s="311"/>
      <c r="J15" s="311"/>
    </row>
    <row r="16" spans="1:6" ht="13.5" customHeight="1">
      <c r="A16" s="375" t="s">
        <v>229</v>
      </c>
      <c r="B16" s="376">
        <f>(3.14159*B10^2/12*((B11-B14)^3-B13^3)/(B11-B14)^2)/1000000</f>
        <v>2.2530031969842526</v>
      </c>
      <c r="C16" s="377" t="s">
        <v>230</v>
      </c>
      <c r="D16" s="422">
        <f>3.14159*D10^2/12*((D11-D14)^3-D13^3)/(D11-D14)^2</f>
        <v>137.48669053738078</v>
      </c>
      <c r="E16" s="375" t="s">
        <v>231</v>
      </c>
      <c r="F16" s="375"/>
    </row>
    <row r="17" spans="1:11" ht="13.5" customHeight="1">
      <c r="A17" s="375" t="s">
        <v>232</v>
      </c>
      <c r="B17" s="376">
        <f>(0.25*3.14159*B13*B12^2)/1000000</f>
        <v>0.882668980375</v>
      </c>
      <c r="C17" s="377" t="s">
        <v>230</v>
      </c>
      <c r="D17" s="422">
        <f>0.25*3.14159*D13*D12^2</f>
        <v>53.86376597876229</v>
      </c>
      <c r="E17" s="375" t="s">
        <v>231</v>
      </c>
      <c r="F17" s="375"/>
      <c r="G17" s="367"/>
      <c r="H17" s="311"/>
      <c r="I17" s="311"/>
      <c r="J17" s="311"/>
      <c r="K17" s="365"/>
    </row>
    <row r="18" spans="2:11" ht="13.5" customHeight="1">
      <c r="B18" s="366"/>
      <c r="C18" s="311"/>
      <c r="D18" s="311"/>
      <c r="G18" s="367"/>
      <c r="H18" s="311"/>
      <c r="I18" s="311"/>
      <c r="J18" s="311"/>
      <c r="K18" s="365"/>
    </row>
    <row r="19" spans="2:11" ht="13.5" customHeight="1" thickBot="1">
      <c r="B19" s="386" t="s">
        <v>30</v>
      </c>
      <c r="C19" s="311"/>
      <c r="D19" s="387" t="s">
        <v>248</v>
      </c>
      <c r="F19" s="372" t="s">
        <v>249</v>
      </c>
      <c r="G19" s="402"/>
      <c r="H19" s="311" t="s">
        <v>252</v>
      </c>
      <c r="I19" s="311"/>
      <c r="J19" s="311"/>
      <c r="K19" s="365"/>
    </row>
    <row r="20" spans="1:11" ht="13.5" customHeight="1">
      <c r="A20" s="276" t="s">
        <v>251</v>
      </c>
      <c r="B20" s="410">
        <f>B16+B17</f>
        <v>3.1356721773592526</v>
      </c>
      <c r="C20" s="396"/>
      <c r="D20" s="415">
        <f>D16+D17</f>
        <v>191.35045651614308</v>
      </c>
      <c r="E20" s="400"/>
      <c r="F20" s="389">
        <f>D20/1728</f>
        <v>0.1107352178912865</v>
      </c>
      <c r="G20" s="409"/>
      <c r="H20" s="423"/>
      <c r="I20" s="424"/>
      <c r="J20" s="424"/>
      <c r="K20" s="425"/>
    </row>
    <row r="21" spans="2:11" ht="13.5" customHeight="1">
      <c r="B21" s="411"/>
      <c r="C21" s="397"/>
      <c r="D21" s="416"/>
      <c r="E21" s="401"/>
      <c r="F21" s="392"/>
      <c r="G21" s="357"/>
      <c r="H21" s="426"/>
      <c r="I21" s="357"/>
      <c r="J21" s="357"/>
      <c r="K21" s="427"/>
    </row>
    <row r="22" spans="1:11" ht="13.5" customHeight="1">
      <c r="A22" s="388" t="s">
        <v>233</v>
      </c>
      <c r="B22" s="412">
        <f>(3.14159*B7*(B8/2)^2)/1000000</f>
        <v>0.9680571688097249</v>
      </c>
      <c r="C22" s="398"/>
      <c r="D22" s="417">
        <f>3.14159*D7*(D8/2)^2</f>
        <v>59.07447293851572</v>
      </c>
      <c r="E22" s="398"/>
      <c r="F22" s="393"/>
      <c r="G22" s="357"/>
      <c r="H22" s="428"/>
      <c r="I22" s="409"/>
      <c r="J22" s="409"/>
      <c r="K22" s="427"/>
    </row>
    <row r="23" spans="1:11" ht="13.5" customHeight="1">
      <c r="A23" s="407" t="s">
        <v>246</v>
      </c>
      <c r="B23" s="413">
        <f>B20-B22</f>
        <v>2.167615008549528</v>
      </c>
      <c r="C23" s="397"/>
      <c r="D23" s="418">
        <f>D20-D22</f>
        <v>132.27598357762736</v>
      </c>
      <c r="E23" s="397"/>
      <c r="F23" s="390">
        <f>D23/1728</f>
        <v>0.07654860160742324</v>
      </c>
      <c r="G23" s="409"/>
      <c r="H23" s="426"/>
      <c r="I23" s="357"/>
      <c r="J23" s="357"/>
      <c r="K23" s="427"/>
    </row>
    <row r="24" spans="1:11" ht="13.5" customHeight="1">
      <c r="A24" s="369"/>
      <c r="B24" s="411"/>
      <c r="C24" s="397"/>
      <c r="D24" s="419"/>
      <c r="E24" s="401"/>
      <c r="F24" s="394"/>
      <c r="G24" s="357"/>
      <c r="H24" s="426"/>
      <c r="I24" s="357"/>
      <c r="J24" s="357"/>
      <c r="K24" s="427"/>
    </row>
    <row r="25" spans="1:11" ht="13.5" customHeight="1">
      <c r="A25" s="388" t="s">
        <v>234</v>
      </c>
      <c r="B25" s="412">
        <f>(3.14159*(B7-B14)*(B8/2)^2)/1000000</f>
        <v>0.7133052822808499</v>
      </c>
      <c r="C25" s="398"/>
      <c r="D25" s="420">
        <f>3.14159*(D7-D14)*(D8/2)^2</f>
        <v>43.52855900732737</v>
      </c>
      <c r="E25" s="398"/>
      <c r="F25" s="395"/>
      <c r="G25" s="357"/>
      <c r="H25" s="426"/>
      <c r="I25" s="357"/>
      <c r="J25" s="357"/>
      <c r="K25" s="427"/>
    </row>
    <row r="26" spans="1:11" ht="13.5" customHeight="1" thickBot="1">
      <c r="A26" s="407" t="s">
        <v>247</v>
      </c>
      <c r="B26" s="414">
        <f>B20-B25</f>
        <v>2.4223668950784027</v>
      </c>
      <c r="C26" s="399"/>
      <c r="D26" s="421">
        <f>D20-D25</f>
        <v>147.8218975088157</v>
      </c>
      <c r="E26" s="399"/>
      <c r="F26" s="391">
        <f>D26/1728</f>
        <v>0.08554507957686094</v>
      </c>
      <c r="G26" s="409"/>
      <c r="H26" s="429"/>
      <c r="I26" s="430"/>
      <c r="J26" s="430"/>
      <c r="K26" s="431"/>
    </row>
    <row r="27" spans="8:10" ht="12.75">
      <c r="H27" s="310"/>
      <c r="I27" s="311"/>
      <c r="J27" s="311"/>
    </row>
    <row r="28" ht="12.75">
      <c r="A28" s="11" t="s">
        <v>224</v>
      </c>
    </row>
    <row r="29" ht="12.75">
      <c r="D29" s="369"/>
    </row>
    <row r="30" ht="12.75">
      <c r="D30" s="369"/>
    </row>
    <row r="36" ht="12.75">
      <c r="D36" s="369"/>
    </row>
    <row r="37" ht="12.75">
      <c r="D37" s="369"/>
    </row>
    <row r="38" ht="12.75">
      <c r="D38" s="369"/>
    </row>
    <row r="39" ht="12.75">
      <c r="D39" s="369"/>
    </row>
    <row r="40" ht="12.75">
      <c r="D40" s="369"/>
    </row>
    <row r="41" ht="12.75">
      <c r="D41" s="369"/>
    </row>
    <row r="42" ht="12.75">
      <c r="D42" s="369"/>
    </row>
    <row r="43" ht="12.75">
      <c r="D43" s="369"/>
    </row>
  </sheetData>
  <sheetProtection sheet="1" objects="1" scenarios="1"/>
  <mergeCells count="1">
    <mergeCell ref="B6:F6"/>
  </mergeCells>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B21"/>
  <sheetViews>
    <sheetView workbookViewId="0" topLeftCell="A1">
      <selection activeCell="B12" sqref="B12"/>
    </sheetView>
  </sheetViews>
  <sheetFormatPr defaultColWidth="9.140625" defaultRowHeight="12.75"/>
  <cols>
    <col min="1" max="1" width="17.28125" style="0" customWidth="1"/>
    <col min="2" max="2" width="111.421875" style="0" customWidth="1"/>
  </cols>
  <sheetData>
    <row r="2" ht="20.25">
      <c r="B2" s="28" t="s">
        <v>98</v>
      </c>
    </row>
    <row r="4" ht="12.75">
      <c r="B4" s="29" t="s">
        <v>100</v>
      </c>
    </row>
    <row r="5" ht="12.75">
      <c r="B5" s="517" t="s">
        <v>222</v>
      </c>
    </row>
    <row r="6" ht="12.75">
      <c r="B6" s="517"/>
    </row>
    <row r="8" ht="12.75">
      <c r="B8" s="29" t="s">
        <v>99</v>
      </c>
    </row>
    <row r="9" ht="12.75">
      <c r="B9" s="517" t="s">
        <v>125</v>
      </c>
    </row>
    <row r="10" ht="12.75">
      <c r="B10" s="517"/>
    </row>
    <row r="12" ht="12.75">
      <c r="B12" s="29" t="s">
        <v>101</v>
      </c>
    </row>
    <row r="13" ht="12.75">
      <c r="B13" s="30" t="s">
        <v>110</v>
      </c>
    </row>
    <row r="14" ht="12.75">
      <c r="B14" s="30" t="s">
        <v>102</v>
      </c>
    </row>
    <row r="15" ht="12.75">
      <c r="B15" s="30" t="s">
        <v>103</v>
      </c>
    </row>
    <row r="16" ht="12.75">
      <c r="B16" s="30" t="s">
        <v>104</v>
      </c>
    </row>
    <row r="17" ht="12.75">
      <c r="B17" s="30" t="s">
        <v>105</v>
      </c>
    </row>
    <row r="18" ht="12.75">
      <c r="B18" s="30" t="s">
        <v>106</v>
      </c>
    </row>
    <row r="19" ht="12.75">
      <c r="B19" s="30" t="s">
        <v>107</v>
      </c>
    </row>
    <row r="20" ht="12.75">
      <c r="B20" s="30" t="s">
        <v>108</v>
      </c>
    </row>
    <row r="21" ht="12.75">
      <c r="B21" s="30" t="s">
        <v>109</v>
      </c>
    </row>
  </sheetData>
  <mergeCells count="2">
    <mergeCell ref="B9:B10"/>
    <mergeCell ref="B5:B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22"/>
  </sheetPr>
  <dimension ref="A1:Q176"/>
  <sheetViews>
    <sheetView workbookViewId="0" topLeftCell="A142">
      <selection activeCell="I166" sqref="I166"/>
    </sheetView>
  </sheetViews>
  <sheetFormatPr defaultColWidth="9.140625" defaultRowHeight="12.75"/>
  <cols>
    <col min="1" max="1" width="13.28125" style="0" customWidth="1"/>
    <col min="2" max="2" width="17.140625" style="0" customWidth="1"/>
    <col min="4" max="4" width="9.28125" style="0" bestFit="1" customWidth="1"/>
  </cols>
  <sheetData>
    <row r="1" spans="1:5" ht="12.75">
      <c r="A1" t="s">
        <v>15</v>
      </c>
      <c r="B1" t="s">
        <v>16</v>
      </c>
      <c r="C1" t="s">
        <v>17</v>
      </c>
      <c r="D1" t="s">
        <v>14</v>
      </c>
      <c r="E1" t="s">
        <v>18</v>
      </c>
    </row>
    <row r="2" spans="1:5" ht="12.75">
      <c r="A2">
        <f>Main!G13</f>
        <v>0.75</v>
      </c>
      <c r="B2">
        <f>Main!H13</f>
        <v>0.75</v>
      </c>
      <c r="C2">
        <f>Main!I13</f>
        <v>0.75</v>
      </c>
      <c r="D2">
        <f>+tt</f>
        <v>0.75</v>
      </c>
      <c r="E2">
        <f>Main!J13</f>
        <v>0.75</v>
      </c>
    </row>
    <row r="4" spans="1:17" ht="12.75">
      <c r="A4" s="5" t="s">
        <v>6</v>
      </c>
      <c r="B4" s="5" t="s">
        <v>7</v>
      </c>
      <c r="C4" s="5" t="s">
        <v>3</v>
      </c>
      <c r="F4" s="7" t="s">
        <v>9</v>
      </c>
      <c r="G4" s="7"/>
      <c r="H4" s="7"/>
      <c r="I4" s="7"/>
      <c r="J4" s="7"/>
      <c r="K4" s="7"/>
      <c r="M4" s="7" t="s">
        <v>10</v>
      </c>
      <c r="N4" s="7"/>
      <c r="O4" s="7" t="s">
        <v>11</v>
      </c>
      <c r="P4" s="7"/>
      <c r="Q4" s="7"/>
    </row>
    <row r="5" spans="1:3" ht="12.75">
      <c r="A5" s="6">
        <f>Main!B18</f>
        <v>11.125</v>
      </c>
      <c r="B5" s="6">
        <f>Main!D18</f>
        <v>18</v>
      </c>
      <c r="C5" s="6">
        <f>Main!C18</f>
        <v>42</v>
      </c>
    </row>
    <row r="6" spans="6:17" ht="12.75">
      <c r="F6" t="s">
        <v>0</v>
      </c>
      <c r="G6" t="s">
        <v>1</v>
      </c>
      <c r="H6" t="s">
        <v>2</v>
      </c>
      <c r="I6" t="s">
        <v>4</v>
      </c>
      <c r="J6" t="s">
        <v>5</v>
      </c>
      <c r="K6" t="s">
        <v>8</v>
      </c>
      <c r="M6" t="s">
        <v>0</v>
      </c>
      <c r="N6" t="s">
        <v>2</v>
      </c>
      <c r="O6" t="s">
        <v>1</v>
      </c>
      <c r="P6" t="s">
        <v>2</v>
      </c>
      <c r="Q6" t="s">
        <v>12</v>
      </c>
    </row>
    <row r="7" spans="1:17" ht="12.75">
      <c r="A7" s="5" t="s">
        <v>66</v>
      </c>
      <c r="B7" s="5" t="s">
        <v>1</v>
      </c>
      <c r="C7" s="5" t="s">
        <v>7</v>
      </c>
      <c r="D7" s="5"/>
      <c r="F7" s="3">
        <v>0</v>
      </c>
      <c r="G7" s="3">
        <v>0</v>
      </c>
      <c r="H7" s="3">
        <f>h</f>
        <v>42</v>
      </c>
      <c r="I7" s="1">
        <f>F7*0.966+G7*0.966</f>
        <v>0</v>
      </c>
      <c r="J7" s="1">
        <f>-F7*0.259+G7*0.259+H7/0.966/0.966</f>
        <v>45.00855162480872</v>
      </c>
      <c r="K7" s="1">
        <f>J7-$J$21</f>
        <v>47.889926624808716</v>
      </c>
      <c r="M7">
        <v>0</v>
      </c>
      <c r="N7">
        <v>0</v>
      </c>
      <c r="O7">
        <f>Q7</f>
        <v>17.125</v>
      </c>
      <c r="P7">
        <v>0</v>
      </c>
      <c r="Q7">
        <f>MAX(M7:M11)+Main!D50</f>
        <v>17.125</v>
      </c>
    </row>
    <row r="8" spans="1:17" ht="12.75">
      <c r="A8" s="10">
        <f>Main!C7</f>
        <v>0</v>
      </c>
      <c r="B8" s="10">
        <f>Main!G19</f>
        <v>34</v>
      </c>
      <c r="C8" s="10">
        <f>Main!D7</f>
        <v>5</v>
      </c>
      <c r="D8" s="6"/>
      <c r="F8" s="3">
        <v>0</v>
      </c>
      <c r="G8" s="3">
        <v>0</v>
      </c>
      <c r="H8" s="3">
        <v>0</v>
      </c>
      <c r="I8" s="1">
        <f aca="true" t="shared" si="0" ref="I8:I18">F8*0.966+G8*0.966</f>
        <v>0</v>
      </c>
      <c r="J8" s="1">
        <f aca="true" t="shared" si="1" ref="J8:J18">-F8*0.259+G8*0.259+H8/0.966/0.966</f>
        <v>0</v>
      </c>
      <c r="K8" s="1">
        <f>J8-$J$21</f>
        <v>2.8813750000000002</v>
      </c>
      <c r="M8">
        <f>w</f>
        <v>11.125</v>
      </c>
      <c r="N8">
        <v>0</v>
      </c>
      <c r="O8">
        <f>d+Q8</f>
        <v>35.125</v>
      </c>
      <c r="P8">
        <v>0</v>
      </c>
      <c r="Q8">
        <f>Q7</f>
        <v>17.125</v>
      </c>
    </row>
    <row r="9" spans="6:17" ht="12.75">
      <c r="F9" s="3">
        <f>w</f>
        <v>11.125</v>
      </c>
      <c r="G9" s="3">
        <v>0</v>
      </c>
      <c r="H9" s="3">
        <v>0</v>
      </c>
      <c r="I9" s="1">
        <f t="shared" si="0"/>
        <v>10.74675</v>
      </c>
      <c r="J9" s="1">
        <f t="shared" si="1"/>
        <v>-2.8813750000000002</v>
      </c>
      <c r="K9" s="1">
        <f>J9-$J$21</f>
        <v>0</v>
      </c>
      <c r="M9">
        <f>w</f>
        <v>11.125</v>
      </c>
      <c r="N9">
        <f>h</f>
        <v>42</v>
      </c>
      <c r="O9">
        <f>d+Q9</f>
        <v>35.125</v>
      </c>
      <c r="P9">
        <f>h</f>
        <v>42</v>
      </c>
      <c r="Q9">
        <f aca="true" t="shared" si="2" ref="Q9:Q14">Q8</f>
        <v>17.125</v>
      </c>
    </row>
    <row r="10" spans="1:17" ht="12.75">
      <c r="A10" s="3">
        <f>Main!C6</f>
        <v>1</v>
      </c>
      <c r="B10" s="3">
        <f>Main!G18</f>
        <v>39</v>
      </c>
      <c r="C10" s="3">
        <f>Main!D6</f>
        <v>4</v>
      </c>
      <c r="F10" s="3"/>
      <c r="G10" s="3"/>
      <c r="H10" s="3"/>
      <c r="I10" s="1"/>
      <c r="J10" s="1"/>
      <c r="K10" s="1"/>
      <c r="M10">
        <v>0</v>
      </c>
      <c r="N10">
        <f>h</f>
        <v>42</v>
      </c>
      <c r="O10">
        <f>Q10</f>
        <v>17.125</v>
      </c>
      <c r="P10">
        <f>h</f>
        <v>42</v>
      </c>
      <c r="Q10">
        <f t="shared" si="2"/>
        <v>17.125</v>
      </c>
    </row>
    <row r="11" spans="6:17" ht="12.75">
      <c r="F11" s="3">
        <f>w</f>
        <v>11.125</v>
      </c>
      <c r="G11" s="3">
        <v>0</v>
      </c>
      <c r="H11" s="3">
        <f>h</f>
        <v>42</v>
      </c>
      <c r="I11" s="1">
        <f t="shared" si="0"/>
        <v>10.74675</v>
      </c>
      <c r="J11" s="1">
        <f t="shared" si="1"/>
        <v>42.12717662480872</v>
      </c>
      <c r="K11" s="1">
        <f aca="true" t="shared" si="3" ref="K11:K18">J11-$J$21</f>
        <v>45.00855162480872</v>
      </c>
      <c r="M11">
        <v>0</v>
      </c>
      <c r="N11">
        <v>0</v>
      </c>
      <c r="O11">
        <f>Q11</f>
        <v>17.125</v>
      </c>
      <c r="P11">
        <v>0</v>
      </c>
      <c r="Q11">
        <f>Q10</f>
        <v>17.125</v>
      </c>
    </row>
    <row r="12" spans="1:13" ht="12.75">
      <c r="A12" s="3">
        <f>Main!C8</f>
        <v>0</v>
      </c>
      <c r="B12" s="17">
        <f>Main!G20</f>
        <v>18</v>
      </c>
      <c r="C12" s="17">
        <f>Main!D8</f>
        <v>10</v>
      </c>
      <c r="F12" s="3">
        <f>w</f>
        <v>11.125</v>
      </c>
      <c r="G12" s="3">
        <v>0</v>
      </c>
      <c r="H12" s="3">
        <v>0</v>
      </c>
      <c r="I12" s="1">
        <f t="shared" si="0"/>
        <v>10.74675</v>
      </c>
      <c r="J12" s="1">
        <f t="shared" si="1"/>
        <v>-2.8813750000000002</v>
      </c>
      <c r="K12" s="1">
        <f t="shared" si="3"/>
        <v>0</v>
      </c>
    </row>
    <row r="13" spans="6:17" ht="12.75">
      <c r="F13" s="3">
        <f>w</f>
        <v>11.125</v>
      </c>
      <c r="G13" s="3">
        <f>d</f>
        <v>18</v>
      </c>
      <c r="H13" s="3">
        <v>0</v>
      </c>
      <c r="I13" s="1">
        <f t="shared" si="0"/>
        <v>28.134749999999997</v>
      </c>
      <c r="J13" s="1">
        <f t="shared" si="1"/>
        <v>1.7806249999999997</v>
      </c>
      <c r="K13" s="1">
        <f t="shared" si="3"/>
        <v>4.662</v>
      </c>
      <c r="M13">
        <f>MAX(M7:Q11)</f>
        <v>42</v>
      </c>
      <c r="N13">
        <f>M13</f>
        <v>42</v>
      </c>
      <c r="O13">
        <f>ft+Q13</f>
        <v>17.875</v>
      </c>
      <c r="P13">
        <v>0</v>
      </c>
      <c r="Q13">
        <f>Q11</f>
        <v>17.125</v>
      </c>
    </row>
    <row r="14" spans="1:17" ht="12.75">
      <c r="A14" s="3">
        <f>Main!C9</f>
        <v>0</v>
      </c>
      <c r="B14" s="17">
        <f>Main!G21</f>
      </c>
      <c r="C14" s="17">
        <f>Main!D9</f>
        <v>0</v>
      </c>
      <c r="F14" s="3">
        <f>w</f>
        <v>11.125</v>
      </c>
      <c r="G14" s="3">
        <f>d</f>
        <v>18</v>
      </c>
      <c r="H14" s="3">
        <f>h</f>
        <v>42</v>
      </c>
      <c r="I14" s="1">
        <f t="shared" si="0"/>
        <v>28.134749999999997</v>
      </c>
      <c r="J14" s="1">
        <f t="shared" si="1"/>
        <v>46.78917662480872</v>
      </c>
      <c r="K14" s="1">
        <f t="shared" si="3"/>
        <v>49.670551624808716</v>
      </c>
      <c r="O14">
        <f>ft+Q14</f>
        <v>17.875</v>
      </c>
      <c r="P14">
        <f>h</f>
        <v>42</v>
      </c>
      <c r="Q14">
        <f t="shared" si="2"/>
        <v>17.125</v>
      </c>
    </row>
    <row r="15" spans="6:15" ht="12.75">
      <c r="F15" s="3">
        <v>0</v>
      </c>
      <c r="G15" s="3">
        <f>d</f>
        <v>18</v>
      </c>
      <c r="H15" s="3">
        <f>h</f>
        <v>42</v>
      </c>
      <c r="I15" s="1">
        <f t="shared" si="0"/>
        <v>17.387999999999998</v>
      </c>
      <c r="J15" s="1">
        <f t="shared" si="1"/>
        <v>49.670551624808716</v>
      </c>
      <c r="K15" s="1">
        <f t="shared" si="3"/>
        <v>52.551926624808715</v>
      </c>
    </row>
    <row r="16" spans="1:17" ht="12.75">
      <c r="A16" t="s">
        <v>40</v>
      </c>
      <c r="C16" t="s">
        <v>41</v>
      </c>
      <c r="F16" s="3">
        <v>0</v>
      </c>
      <c r="G16" s="3">
        <v>0</v>
      </c>
      <c r="H16" s="3">
        <f>h</f>
        <v>42</v>
      </c>
      <c r="I16" s="1">
        <f t="shared" si="0"/>
        <v>0</v>
      </c>
      <c r="J16" s="1">
        <f t="shared" si="1"/>
        <v>45.00855162480872</v>
      </c>
      <c r="K16" s="1">
        <f t="shared" si="3"/>
        <v>47.889926624808716</v>
      </c>
      <c r="O16">
        <f>d-rt+Q16</f>
        <v>34.375</v>
      </c>
      <c r="P16">
        <v>0</v>
      </c>
      <c r="Q16">
        <f>Q23</f>
        <v>17.125</v>
      </c>
    </row>
    <row r="17" spans="1:17" ht="12.75">
      <c r="A17" s="9">
        <f>(w-2*st)*(d-ft-rt)*(h-tt-bt)/1728</f>
        <v>3.72216796875</v>
      </c>
      <c r="B17" t="s">
        <v>20</v>
      </c>
      <c r="C17" s="2">
        <f>w*d*h/1728</f>
        <v>4.8671875</v>
      </c>
      <c r="D17" t="s">
        <v>20</v>
      </c>
      <c r="F17" s="3">
        <f>w</f>
        <v>11.125</v>
      </c>
      <c r="G17" s="3">
        <v>0</v>
      </c>
      <c r="H17" s="3">
        <f>h</f>
        <v>42</v>
      </c>
      <c r="I17" s="1">
        <f t="shared" si="0"/>
        <v>10.74675</v>
      </c>
      <c r="J17" s="1">
        <f t="shared" si="1"/>
        <v>42.12717662480872</v>
      </c>
      <c r="K17" s="1">
        <f t="shared" si="3"/>
        <v>45.00855162480872</v>
      </c>
      <c r="O17">
        <f>d-rt+Q17</f>
        <v>34.375</v>
      </c>
      <c r="P17">
        <f>h</f>
        <v>42</v>
      </c>
      <c r="Q17">
        <f>Q16</f>
        <v>17.125</v>
      </c>
    </row>
    <row r="18" spans="1:11" ht="12.75">
      <c r="A18" s="9">
        <f>A17*2.54*2.54*2.54/1000*12*12*12</f>
        <v>105.40005936074999</v>
      </c>
      <c r="B18" t="s">
        <v>21</v>
      </c>
      <c r="C18" s="2">
        <f>w*d*h*0.016387064</f>
        <v>137.823401772</v>
      </c>
      <c r="D18" t="s">
        <v>21</v>
      </c>
      <c r="F18" s="3">
        <f>w</f>
        <v>11.125</v>
      </c>
      <c r="G18" s="3">
        <f>d</f>
        <v>18</v>
      </c>
      <c r="H18" s="3">
        <f>h</f>
        <v>42</v>
      </c>
      <c r="I18" s="1">
        <f t="shared" si="0"/>
        <v>28.134749999999997</v>
      </c>
      <c r="J18" s="1">
        <f t="shared" si="1"/>
        <v>46.78917662480872</v>
      </c>
      <c r="K18" s="1">
        <f t="shared" si="3"/>
        <v>49.670551624808716</v>
      </c>
    </row>
    <row r="19" spans="4:17" ht="12.75">
      <c r="D19" s="5"/>
      <c r="I19" s="1"/>
      <c r="J19" s="1"/>
      <c r="K19" s="1"/>
      <c r="O19">
        <f>ft+Q19</f>
        <v>17.875</v>
      </c>
      <c r="P19">
        <f>bt</f>
        <v>0.75</v>
      </c>
      <c r="Q19">
        <f>Q14</f>
        <v>17.125</v>
      </c>
    </row>
    <row r="20" spans="1:17" ht="12.75">
      <c r="A20" t="s">
        <v>24</v>
      </c>
      <c r="I20" s="1">
        <f>MAX(I21:K21)</f>
        <v>52.551926624808715</v>
      </c>
      <c r="J20" s="1"/>
      <c r="K20" s="1">
        <f>I20</f>
        <v>52.551926624808715</v>
      </c>
      <c r="N20" t="s">
        <v>13</v>
      </c>
      <c r="O20">
        <f>d-rt+Q20</f>
        <v>34.375</v>
      </c>
      <c r="P20">
        <f>bt</f>
        <v>0.75</v>
      </c>
      <c r="Q20">
        <f>Q19</f>
        <v>17.125</v>
      </c>
    </row>
    <row r="21" spans="1:15" ht="12.75">
      <c r="A21">
        <f>h</f>
        <v>42</v>
      </c>
      <c r="B21">
        <f>w</f>
        <v>11.125</v>
      </c>
      <c r="C21">
        <f>ft</f>
        <v>0.75</v>
      </c>
      <c r="D21" s="3"/>
      <c r="I21" s="1">
        <f>MAX(I7:I18)</f>
        <v>28.134749999999997</v>
      </c>
      <c r="J21" s="1">
        <f>MIN(J7:J18)</f>
        <v>-2.8813750000000002</v>
      </c>
      <c r="K21" s="1">
        <f>MAX(K7:K18)</f>
        <v>52.551926624808715</v>
      </c>
    </row>
    <row r="22" spans="1:17" ht="12.75">
      <c r="A22" s="8" t="s">
        <v>23</v>
      </c>
      <c r="B22" s="2">
        <f>(A21*B21*C21-ft*$C$8*$C$8*PI()/4-ft*$C$10*$C$10*PI()/4)*0.016387064</f>
        <v>5.3468778639508985</v>
      </c>
      <c r="C22" t="s">
        <v>19</v>
      </c>
      <c r="I22" s="1"/>
      <c r="J22" s="1"/>
      <c r="K22" s="1"/>
      <c r="O22">
        <f>d-rt+Q22</f>
        <v>34.375</v>
      </c>
      <c r="P22">
        <f>h-tt</f>
        <v>41.25</v>
      </c>
      <c r="Q22">
        <f>Q20</f>
        <v>17.125</v>
      </c>
    </row>
    <row r="23" spans="5:17" ht="12.75">
      <c r="E23" s="18">
        <v>0</v>
      </c>
      <c r="F23" s="4">
        <f>COS(E23*0.017453)*$C$8/2+$A$8+w/2</f>
        <v>8.0625</v>
      </c>
      <c r="H23" s="1">
        <f>SIN(E23*0.017453)*$C$8/2+$B$8</f>
        <v>34</v>
      </c>
      <c r="I23" s="1">
        <f aca="true" t="shared" si="4" ref="I23:I47">F23*0.966+G23*0.966</f>
        <v>7.788374999999999</v>
      </c>
      <c r="J23" s="1">
        <f aca="true" t="shared" si="5" ref="J23:J47">-F23*0.259+G23*0.259+H23/0.966/0.966</f>
        <v>34.3473066724642</v>
      </c>
      <c r="K23" s="1">
        <f>J23-$J$21</f>
        <v>37.2286816724642</v>
      </c>
      <c r="O23">
        <f>ft+Q23</f>
        <v>17.875</v>
      </c>
      <c r="P23">
        <f>h-tt</f>
        <v>41.25</v>
      </c>
      <c r="Q23">
        <f>Q22</f>
        <v>17.125</v>
      </c>
    </row>
    <row r="24" spans="1:15" ht="12.75">
      <c r="A24" t="s">
        <v>25</v>
      </c>
      <c r="E24" s="18">
        <v>15</v>
      </c>
      <c r="F24" s="4">
        <f aca="true" t="shared" si="6" ref="F24:F47">COS(E24*0.017453)*$C$8/2+$A$8+w/2</f>
        <v>7.977317404814389</v>
      </c>
      <c r="H24" s="1">
        <f aca="true" t="shared" si="7" ref="H24:H47">SIN(E24*0.017453)*$C$8/2+$B$8</f>
        <v>34.64703701702877</v>
      </c>
      <c r="I24" s="1">
        <f t="shared" si="4"/>
        <v>7.7060886130507</v>
      </c>
      <c r="J24" s="1">
        <f t="shared" si="5"/>
        <v>35.06275465471494</v>
      </c>
      <c r="K24" s="1">
        <f aca="true" t="shared" si="8" ref="K24:K47">J24-$J$21</f>
        <v>37.944129654714935</v>
      </c>
    </row>
    <row r="25" spans="1:16" ht="12.75">
      <c r="A25">
        <f>h</f>
        <v>42</v>
      </c>
      <c r="B25">
        <f>w</f>
        <v>11.125</v>
      </c>
      <c r="C25">
        <f>rt</f>
        <v>0.75</v>
      </c>
      <c r="E25" s="18">
        <v>30</v>
      </c>
      <c r="F25" s="4">
        <f t="shared" si="6"/>
        <v>7.727574478875603</v>
      </c>
      <c r="H25" s="1">
        <f t="shared" si="7"/>
        <v>35.24998100022422</v>
      </c>
      <c r="I25" s="1">
        <f t="shared" si="4"/>
        <v>7.464836946593832</v>
      </c>
      <c r="J25" s="1">
        <f t="shared" si="5"/>
        <v>35.773572248593084</v>
      </c>
      <c r="K25" s="1">
        <f t="shared" si="8"/>
        <v>38.65494724859308</v>
      </c>
      <c r="O25">
        <f>st</f>
        <v>0.75</v>
      </c>
      <c r="P25">
        <v>0</v>
      </c>
    </row>
    <row r="26" spans="1:16" ht="12.75">
      <c r="A26" s="8" t="s">
        <v>23</v>
      </c>
      <c r="B26" s="2">
        <f>A25*B25*C25*0.016387064</f>
        <v>5.7426417405</v>
      </c>
      <c r="C26" t="s">
        <v>19</v>
      </c>
      <c r="E26" s="18">
        <v>45</v>
      </c>
      <c r="F26" s="4">
        <f t="shared" si="6"/>
        <v>7.330290222632211</v>
      </c>
      <c r="H26" s="1">
        <f t="shared" si="7"/>
        <v>35.767743682994215</v>
      </c>
      <c r="I26" s="1">
        <f t="shared" si="4"/>
        <v>7.081060355062716</v>
      </c>
      <c r="J26" s="1">
        <f t="shared" si="5"/>
        <v>36.43132002421852</v>
      </c>
      <c r="K26" s="1">
        <f t="shared" si="8"/>
        <v>39.31269502421852</v>
      </c>
      <c r="O26">
        <f>st</f>
        <v>0.75</v>
      </c>
      <c r="P26">
        <f>h</f>
        <v>42</v>
      </c>
    </row>
    <row r="27" spans="5:15" ht="12.75">
      <c r="E27" s="18">
        <v>60</v>
      </c>
      <c r="F27" s="4">
        <f t="shared" si="6"/>
        <v>6.812537999262771</v>
      </c>
      <c r="H27" s="1">
        <f t="shared" si="7"/>
        <v>36.16504157013188</v>
      </c>
      <c r="I27" s="1">
        <f t="shared" si="4"/>
        <v>6.580911707287837</v>
      </c>
      <c r="J27" s="1">
        <f t="shared" si="5"/>
        <v>36.991175051586985</v>
      </c>
      <c r="K27" s="1">
        <f t="shared" si="8"/>
        <v>39.872550051586984</v>
      </c>
    </row>
    <row r="28" spans="1:16" ht="12.75">
      <c r="A28" t="s">
        <v>26</v>
      </c>
      <c r="E28" s="18">
        <v>75</v>
      </c>
      <c r="F28" s="4">
        <f t="shared" si="6"/>
        <v>6.209600591207067</v>
      </c>
      <c r="H28" s="1">
        <f t="shared" si="7"/>
        <v>36.4148003695667</v>
      </c>
      <c r="I28" s="1">
        <f t="shared" si="4"/>
        <v>5.998474171106027</v>
      </c>
      <c r="J28" s="1">
        <f t="shared" si="5"/>
        <v>37.414985407371326</v>
      </c>
      <c r="K28" s="1">
        <f t="shared" si="8"/>
        <v>40.296360407371324</v>
      </c>
      <c r="O28">
        <f>w-st</f>
        <v>10.375</v>
      </c>
      <c r="P28">
        <v>0</v>
      </c>
    </row>
    <row r="29" spans="1:16" ht="12.75">
      <c r="A29">
        <f>d-ft-rt</f>
        <v>16.5</v>
      </c>
      <c r="B29">
        <f>w-2*st</f>
        <v>9.625</v>
      </c>
      <c r="C29">
        <f>tt</f>
        <v>0.75</v>
      </c>
      <c r="E29" s="18">
        <v>90</v>
      </c>
      <c r="F29" s="4">
        <f t="shared" si="6"/>
        <v>5.562565816987234</v>
      </c>
      <c r="H29" s="1">
        <f t="shared" si="7"/>
        <v>36.49999999913363</v>
      </c>
      <c r="I29" s="1">
        <f t="shared" si="4"/>
        <v>5.373438579209668</v>
      </c>
      <c r="J29" s="1">
        <f t="shared" si="5"/>
        <v>37.67387007879373</v>
      </c>
      <c r="K29" s="1">
        <f t="shared" si="8"/>
        <v>40.55524507879373</v>
      </c>
      <c r="O29">
        <f>w-st</f>
        <v>10.375</v>
      </c>
      <c r="P29">
        <f>h</f>
        <v>42</v>
      </c>
    </row>
    <row r="30" spans="1:15" ht="12.75">
      <c r="A30" s="8" t="s">
        <v>23</v>
      </c>
      <c r="B30" s="2">
        <f>A29*B29*C29*0.016387064</f>
        <v>1.951852951125</v>
      </c>
      <c r="C30" t="s">
        <v>19</v>
      </c>
      <c r="E30" s="18">
        <v>105</v>
      </c>
      <c r="F30" s="4">
        <f t="shared" si="6"/>
        <v>4.915526557597977</v>
      </c>
      <c r="H30" s="1">
        <f t="shared" si="7"/>
        <v>36.41483443838837</v>
      </c>
      <c r="I30" s="1">
        <f t="shared" si="4"/>
        <v>4.748398654639646</v>
      </c>
      <c r="J30" s="1">
        <f t="shared" si="5"/>
        <v>37.75018709132177</v>
      </c>
      <c r="K30" s="1">
        <f t="shared" si="8"/>
        <v>40.63156209132177</v>
      </c>
    </row>
    <row r="31" spans="5:16" ht="12.75">
      <c r="E31" s="18">
        <v>120</v>
      </c>
      <c r="F31" s="4">
        <f t="shared" si="6"/>
        <v>4.312575999680698</v>
      </c>
      <c r="H31" s="1">
        <f t="shared" si="7"/>
        <v>36.16510738611871</v>
      </c>
      <c r="I31" s="1">
        <f t="shared" si="4"/>
        <v>4.165948415691554</v>
      </c>
      <c r="J31" s="1">
        <f t="shared" si="5"/>
        <v>37.63873574000829</v>
      </c>
      <c r="K31" s="1">
        <f t="shared" si="8"/>
        <v>40.52011074000829</v>
      </c>
      <c r="O31">
        <f>st</f>
        <v>0.75</v>
      </c>
      <c r="P31">
        <f>bt</f>
        <v>0.75</v>
      </c>
    </row>
    <row r="32" spans="1:16" ht="12.75">
      <c r="A32" t="s">
        <v>27</v>
      </c>
      <c r="E32" s="18">
        <v>135</v>
      </c>
      <c r="F32" s="4">
        <f t="shared" si="6"/>
        <v>3.7948028578690014</v>
      </c>
      <c r="H32" s="1">
        <f t="shared" si="7"/>
        <v>35.76783676104495</v>
      </c>
      <c r="I32" s="1">
        <f t="shared" si="4"/>
        <v>3.665779560701455</v>
      </c>
      <c r="J32" s="1">
        <f t="shared" si="5"/>
        <v>37.34711099712675</v>
      </c>
      <c r="K32" s="1">
        <f t="shared" si="8"/>
        <v>40.22848599712675</v>
      </c>
      <c r="O32">
        <f>w-st</f>
        <v>10.375</v>
      </c>
      <c r="P32">
        <f>bt</f>
        <v>0.75</v>
      </c>
    </row>
    <row r="33" spans="1:15" ht="12.75">
      <c r="A33">
        <f>d-ft-rt</f>
        <v>16.5</v>
      </c>
      <c r="B33">
        <f>w-2*st</f>
        <v>9.625</v>
      </c>
      <c r="C33">
        <f>bt</f>
        <v>0.75</v>
      </c>
      <c r="E33" s="18">
        <v>150</v>
      </c>
      <c r="F33" s="4">
        <f t="shared" si="6"/>
        <v>3.3974913401124285</v>
      </c>
      <c r="H33" s="1">
        <f t="shared" si="7"/>
        <v>35.25009499743492</v>
      </c>
      <c r="I33" s="1">
        <f t="shared" si="4"/>
        <v>3.281976634548606</v>
      </c>
      <c r="J33" s="1">
        <f t="shared" si="5"/>
        <v>36.89518594461233</v>
      </c>
      <c r="K33" s="1">
        <f t="shared" si="8"/>
        <v>39.77656094461233</v>
      </c>
    </row>
    <row r="34" spans="1:16" ht="12.75">
      <c r="A34" s="8" t="s">
        <v>23</v>
      </c>
      <c r="B34" s="2">
        <f>A33*B33*C33*0.016387064</f>
        <v>1.951852951125</v>
      </c>
      <c r="C34" t="s">
        <v>19</v>
      </c>
      <c r="E34" s="18">
        <v>165</v>
      </c>
      <c r="F34" s="4">
        <f t="shared" si="6"/>
        <v>3.147716667354691</v>
      </c>
      <c r="H34" s="1">
        <f t="shared" si="7"/>
        <v>34.647164164936854</v>
      </c>
      <c r="I34" s="1">
        <f t="shared" si="4"/>
        <v>3.0406943006646316</v>
      </c>
      <c r="J34" s="1">
        <f t="shared" si="5"/>
        <v>36.31375750150711</v>
      </c>
      <c r="K34" s="1">
        <f t="shared" si="8"/>
        <v>39.19513250150711</v>
      </c>
      <c r="O34">
        <f>st</f>
        <v>0.75</v>
      </c>
      <c r="P34">
        <f>h-tt</f>
        <v>41.25</v>
      </c>
    </row>
    <row r="35" spans="5:16" ht="12.75">
      <c r="E35" s="18">
        <v>180</v>
      </c>
      <c r="F35" s="4">
        <f t="shared" si="6"/>
        <v>3.0625000034655008</v>
      </c>
      <c r="H35" s="1">
        <f t="shared" si="7"/>
        <v>34.00013163397442</v>
      </c>
      <c r="I35" s="1">
        <f t="shared" si="4"/>
        <v>2.9583750033476734</v>
      </c>
      <c r="J35" s="1">
        <f t="shared" si="5"/>
        <v>35.6424477347698</v>
      </c>
      <c r="K35" s="1">
        <f t="shared" si="8"/>
        <v>38.5238227347698</v>
      </c>
      <c r="O35">
        <f>w-st</f>
        <v>10.375</v>
      </c>
      <c r="P35">
        <f>h-tt</f>
        <v>41.25</v>
      </c>
    </row>
    <row r="36" spans="1:11" ht="12.75">
      <c r="A36" t="s">
        <v>28</v>
      </c>
      <c r="E36" s="18">
        <v>195</v>
      </c>
      <c r="F36" s="4">
        <f t="shared" si="6"/>
        <v>3.147648529711371</v>
      </c>
      <c r="H36" s="1">
        <f t="shared" si="7"/>
        <v>33.353090132673145</v>
      </c>
      <c r="I36" s="1">
        <f t="shared" si="4"/>
        <v>3.0406284797011844</v>
      </c>
      <c r="J36" s="1">
        <f t="shared" si="5"/>
        <v>34.92700377088374</v>
      </c>
      <c r="K36" s="1">
        <f t="shared" si="8"/>
        <v>37.80837877088374</v>
      </c>
    </row>
    <row r="37" spans="1:11" ht="12.75">
      <c r="A37">
        <f>h</f>
        <v>42</v>
      </c>
      <c r="B37">
        <f>d-ft-rt</f>
        <v>16.5</v>
      </c>
      <c r="C37">
        <f>st</f>
        <v>0.75</v>
      </c>
      <c r="E37" s="18">
        <v>210</v>
      </c>
      <c r="F37" s="4">
        <f t="shared" si="6"/>
        <v>3.397359708138819</v>
      </c>
      <c r="H37" s="1">
        <f t="shared" si="7"/>
        <v>32.75013300045194</v>
      </c>
      <c r="I37" s="1">
        <f t="shared" si="4"/>
        <v>3.281849478062099</v>
      </c>
      <c r="J37" s="1">
        <f t="shared" si="5"/>
        <v>34.216180308691875</v>
      </c>
      <c r="K37" s="1">
        <f t="shared" si="8"/>
        <v>37.097555308691874</v>
      </c>
    </row>
    <row r="38" spans="1:11" ht="12.75">
      <c r="A38" s="8" t="s">
        <v>23</v>
      </c>
      <c r="B38" s="2">
        <f>A37*B37*C37*0.016387064</f>
        <v>8.517176513999999</v>
      </c>
      <c r="C38" t="s">
        <v>19</v>
      </c>
      <c r="E38" s="18">
        <v>225</v>
      </c>
      <c r="F38" s="4">
        <f t="shared" si="6"/>
        <v>3.794616701767599</v>
      </c>
      <c r="H38" s="1">
        <f>SIN(E38*0.017453)*$C$8/2+$B$8</f>
        <v>32.232349399957414</v>
      </c>
      <c r="I38" s="1">
        <f t="shared" si="4"/>
        <v>3.665599733907501</v>
      </c>
      <c r="J38" s="1">
        <f t="shared" si="5"/>
        <v>33.55841717797685</v>
      </c>
      <c r="K38" s="1">
        <f t="shared" si="8"/>
        <v>36.43979217797685</v>
      </c>
    </row>
    <row r="39" spans="5:11" ht="12.75">
      <c r="E39" s="18">
        <v>240</v>
      </c>
      <c r="F39" s="4">
        <f t="shared" si="6"/>
        <v>4.3123480052593655</v>
      </c>
      <c r="H39" s="1">
        <f t="shared" si="7"/>
        <v>31.835024251857305</v>
      </c>
      <c r="I39" s="1">
        <f t="shared" si="4"/>
        <v>4.165728173080547</v>
      </c>
      <c r="J39" s="1">
        <f t="shared" si="5"/>
        <v>32.998538355132034</v>
      </c>
      <c r="K39" s="1">
        <f t="shared" si="8"/>
        <v>35.87991335513203</v>
      </c>
    </row>
    <row r="40" spans="1:11" ht="12.75">
      <c r="A40" t="s">
        <v>29</v>
      </c>
      <c r="B40" s="2">
        <f>B22+B26+B30+B34+2*B38</f>
        <v>32.02757853470089</v>
      </c>
      <c r="C40" t="s">
        <v>30</v>
      </c>
      <c r="E40" s="18">
        <v>255</v>
      </c>
      <c r="F40" s="4">
        <f t="shared" si="6"/>
        <v>4.915272261781912</v>
      </c>
      <c r="H40" s="1">
        <f t="shared" si="7"/>
        <v>31.58523370594977</v>
      </c>
      <c r="I40" s="1">
        <f t="shared" si="4"/>
        <v>4.748153004881327</v>
      </c>
      <c r="J40" s="1">
        <f t="shared" si="5"/>
        <v>32.57469738505297</v>
      </c>
      <c r="K40" s="1">
        <f t="shared" si="8"/>
        <v>35.45607238505297</v>
      </c>
    </row>
    <row r="41" spans="1:11" ht="12.75">
      <c r="A41" t="s">
        <v>31</v>
      </c>
      <c r="B41">
        <f>+Main!G5</f>
        <v>0.753</v>
      </c>
      <c r="E41" s="18">
        <v>270</v>
      </c>
      <c r="F41" s="4">
        <f t="shared" si="6"/>
        <v>5.562302549038479</v>
      </c>
      <c r="H41" s="1">
        <f t="shared" si="7"/>
        <v>31.500000007797375</v>
      </c>
      <c r="I41" s="1">
        <f t="shared" si="4"/>
        <v>5.373184262371171</v>
      </c>
      <c r="J41" s="1">
        <f t="shared" si="5"/>
        <v>32.31577736676149</v>
      </c>
      <c r="K41" s="1">
        <f t="shared" si="8"/>
        <v>35.197152366761486</v>
      </c>
    </row>
    <row r="42" spans="1:11" ht="12.75">
      <c r="A42" t="s">
        <v>32</v>
      </c>
      <c r="B42">
        <f>B40*B41</f>
        <v>24.116766636629773</v>
      </c>
      <c r="E42" s="18">
        <v>285</v>
      </c>
      <c r="F42" s="4">
        <f t="shared" si="6"/>
        <v>6.209346291803309</v>
      </c>
      <c r="H42" s="1">
        <f t="shared" si="7"/>
        <v>31.585131499484845</v>
      </c>
      <c r="I42" s="1">
        <f t="shared" si="4"/>
        <v>5.998228517881996</v>
      </c>
      <c r="J42" s="1">
        <f t="shared" si="5"/>
        <v>32.239422683540454</v>
      </c>
      <c r="K42" s="1">
        <f t="shared" si="8"/>
        <v>35.12079768354045</v>
      </c>
    </row>
    <row r="43" spans="5:11" ht="12.75">
      <c r="E43" s="18">
        <v>300</v>
      </c>
      <c r="F43" s="4">
        <f t="shared" si="6"/>
        <v>6.812309997910543</v>
      </c>
      <c r="H43" s="1">
        <f t="shared" si="7"/>
        <v>31.83482680389701</v>
      </c>
      <c r="I43" s="1">
        <f t="shared" si="4"/>
        <v>6.580691457981584</v>
      </c>
      <c r="J43" s="1">
        <f t="shared" si="5"/>
        <v>32.35083660744695</v>
      </c>
      <c r="K43" s="1">
        <f t="shared" si="8"/>
        <v>35.23221160744695</v>
      </c>
    </row>
    <row r="44" spans="5:11" ht="12.75">
      <c r="E44" s="18">
        <v>315</v>
      </c>
      <c r="F44" s="4">
        <f t="shared" si="6"/>
        <v>7.330104056729022</v>
      </c>
      <c r="H44" s="1">
        <f t="shared" si="7"/>
        <v>32.23207016580547</v>
      </c>
      <c r="I44" s="1">
        <f t="shared" si="4"/>
        <v>7.080880518800235</v>
      </c>
      <c r="J44" s="1">
        <f t="shared" si="5"/>
        <v>32.64242671673843</v>
      </c>
      <c r="K44" s="1">
        <f t="shared" si="8"/>
        <v>35.523801716738426</v>
      </c>
    </row>
    <row r="45" spans="5:11" ht="12.75">
      <c r="E45" s="18">
        <v>330</v>
      </c>
      <c r="F45" s="4">
        <f t="shared" si="6"/>
        <v>7.727442834897268</v>
      </c>
      <c r="H45" s="1">
        <f t="shared" si="7"/>
        <v>32.74979100882013</v>
      </c>
      <c r="I45" s="1">
        <f t="shared" si="4"/>
        <v>7.464709778510761</v>
      </c>
      <c r="J45" s="1">
        <f t="shared" si="5"/>
        <v>33.09432228962297</v>
      </c>
      <c r="K45" s="1">
        <f t="shared" si="8"/>
        <v>35.97569728962297</v>
      </c>
    </row>
    <row r="46" spans="5:11" ht="12.75">
      <c r="E46" s="18">
        <v>345</v>
      </c>
      <c r="F46" s="4">
        <f t="shared" si="6"/>
        <v>7.977249253781482</v>
      </c>
      <c r="H46" s="1">
        <f t="shared" si="7"/>
        <v>33.35270868894927</v>
      </c>
      <c r="I46" s="1">
        <f t="shared" si="4"/>
        <v>7.706022779152911</v>
      </c>
      <c r="J46" s="1">
        <f t="shared" si="5"/>
        <v>33.67572841597963</v>
      </c>
      <c r="K46" s="1">
        <f t="shared" si="8"/>
        <v>36.557103415979626</v>
      </c>
    </row>
    <row r="47" spans="5:11" ht="12.75">
      <c r="E47" s="18">
        <v>360</v>
      </c>
      <c r="F47" s="4">
        <f t="shared" si="6"/>
        <v>8.062499986137997</v>
      </c>
      <c r="H47" s="1">
        <f t="shared" si="7"/>
        <v>33.999736732051524</v>
      </c>
      <c r="I47" s="1">
        <f t="shared" si="4"/>
        <v>7.788374986609305</v>
      </c>
      <c r="J47" s="1">
        <f t="shared" si="5"/>
        <v>34.347024549648495</v>
      </c>
      <c r="K47" s="1">
        <f t="shared" si="8"/>
        <v>37.22839954964849</v>
      </c>
    </row>
    <row r="48" spans="8:11" ht="12.75">
      <c r="H48" s="1"/>
      <c r="I48" s="1"/>
      <c r="J48" s="1"/>
      <c r="K48" s="1"/>
    </row>
    <row r="49" spans="5:11" ht="12.75">
      <c r="E49">
        <v>0</v>
      </c>
      <c r="F49" s="4">
        <f>COS(E49*0.017453)*$C$10/2+$A$10+w/2</f>
        <v>8.5625</v>
      </c>
      <c r="H49" s="1">
        <f>SIN(E49*0.017453)*$C$10/2+$B$10</f>
        <v>39</v>
      </c>
      <c r="I49" s="1">
        <f>F49*0.966+G49*0.966</f>
        <v>8.271374999999999</v>
      </c>
      <c r="J49" s="1">
        <f aca="true" t="shared" si="9" ref="J49:J83">-F49*0.259+G49*0.259+H49/0.966/0.966</f>
        <v>39.57596758017952</v>
      </c>
      <c r="K49" s="1">
        <f>J49-$J$21</f>
        <v>42.45734258017952</v>
      </c>
    </row>
    <row r="50" spans="5:11" ht="12.75">
      <c r="E50">
        <v>15</v>
      </c>
      <c r="F50" s="4">
        <f aca="true" t="shared" si="10" ref="F50:F73">COS(E50*0.017453)*$C$10/2+$A$10+w/2</f>
        <v>8.494353923851513</v>
      </c>
      <c r="H50" s="1">
        <f aca="true" t="shared" si="11" ref="H50:H73">SIN(E50*0.017453)*$C$10/2+$B$10</f>
        <v>39.51762961362302</v>
      </c>
      <c r="I50" s="1">
        <f>F50*0.966+G50*0.966</f>
        <v>8.205545890440561</v>
      </c>
      <c r="J50" s="1">
        <f t="shared" si="9"/>
        <v>40.148325965980106</v>
      </c>
      <c r="K50" s="1">
        <f>J50-$J$21</f>
        <v>43.029700965980105</v>
      </c>
    </row>
    <row r="51" spans="5:11" ht="12.75">
      <c r="E51">
        <v>30</v>
      </c>
      <c r="F51" s="4">
        <f t="shared" si="10"/>
        <v>8.294559583100483</v>
      </c>
      <c r="H51" s="1">
        <f t="shared" si="11"/>
        <v>39.99998480017938</v>
      </c>
      <c r="I51" s="1">
        <f aca="true" t="shared" si="12" ref="I51:I75">F51*0.966+G51*0.966</f>
        <v>8.012544557275067</v>
      </c>
      <c r="J51" s="1">
        <f t="shared" si="9"/>
        <v>40.71698004108263</v>
      </c>
      <c r="K51" s="1">
        <f aca="true" t="shared" si="13" ref="K51:K118">J51-$J$21</f>
        <v>43.59835504108263</v>
      </c>
    </row>
    <row r="52" spans="5:11" ht="12.75">
      <c r="E52">
        <v>45</v>
      </c>
      <c r="F52" s="4">
        <f t="shared" si="10"/>
        <v>7.9767321781057685</v>
      </c>
      <c r="H52" s="1">
        <f t="shared" si="11"/>
        <v>40.41419494639538</v>
      </c>
      <c r="I52" s="1">
        <f t="shared" si="12"/>
        <v>7.705523284050172</v>
      </c>
      <c r="J52" s="1">
        <f t="shared" si="9"/>
        <v>41.24317826158299</v>
      </c>
      <c r="K52" s="1">
        <f t="shared" si="13"/>
        <v>44.12455326158299</v>
      </c>
    </row>
    <row r="53" spans="5:11" ht="12.75">
      <c r="E53">
        <v>60</v>
      </c>
      <c r="F53" s="4">
        <f t="shared" si="10"/>
        <v>7.5625303994102175</v>
      </c>
      <c r="H53" s="1">
        <f t="shared" si="11"/>
        <v>40.73203325610551</v>
      </c>
      <c r="I53" s="1">
        <f t="shared" si="12"/>
        <v>7.30540436583027</v>
      </c>
      <c r="J53" s="1">
        <f t="shared" si="9"/>
        <v>41.69106228347776</v>
      </c>
      <c r="K53" s="1">
        <f t="shared" si="13"/>
        <v>44.57243728347776</v>
      </c>
    </row>
    <row r="54" spans="5:11" ht="12.75">
      <c r="E54">
        <v>75</v>
      </c>
      <c r="F54" s="4">
        <f t="shared" si="10"/>
        <v>7.080180472965654</v>
      </c>
      <c r="H54" s="1">
        <f t="shared" si="11"/>
        <v>40.93184029565336</v>
      </c>
      <c r="I54" s="1">
        <f t="shared" si="12"/>
        <v>6.839454336884821</v>
      </c>
      <c r="J54" s="1">
        <f t="shared" si="9"/>
        <v>42.03011056810523</v>
      </c>
      <c r="K54" s="1">
        <f t="shared" si="13"/>
        <v>44.91148556810523</v>
      </c>
    </row>
    <row r="55" spans="5:11" ht="12.75">
      <c r="E55">
        <v>90</v>
      </c>
      <c r="F55" s="4">
        <f t="shared" si="10"/>
        <v>6.562552653589787</v>
      </c>
      <c r="H55" s="1">
        <f t="shared" si="11"/>
        <v>40.9999999993069</v>
      </c>
      <c r="I55" s="1">
        <f t="shared" si="12"/>
        <v>6.339425863367734</v>
      </c>
      <c r="J55" s="1">
        <f t="shared" si="9"/>
        <v>42.237218305243154</v>
      </c>
      <c r="K55" s="1">
        <f t="shared" si="13"/>
        <v>45.11859330524315</v>
      </c>
    </row>
    <row r="56" spans="5:11" ht="12.75">
      <c r="E56">
        <v>105</v>
      </c>
      <c r="F56" s="4">
        <f t="shared" si="10"/>
        <v>6.044921246078381</v>
      </c>
      <c r="H56" s="1">
        <f t="shared" si="11"/>
        <v>40.9318675507107</v>
      </c>
      <c r="I56" s="1">
        <f t="shared" si="12"/>
        <v>5.839393923711716</v>
      </c>
      <c r="J56" s="1">
        <f t="shared" si="9"/>
        <v>42.29827191526559</v>
      </c>
      <c r="K56" s="1">
        <f t="shared" si="13"/>
        <v>45.179646915265586</v>
      </c>
    </row>
    <row r="57" spans="5:11" ht="12.75">
      <c r="E57">
        <v>120</v>
      </c>
      <c r="F57" s="4">
        <f t="shared" si="10"/>
        <v>5.562560799744558</v>
      </c>
      <c r="H57" s="1">
        <f t="shared" si="11"/>
        <v>40.732085908894966</v>
      </c>
      <c r="I57" s="1">
        <f t="shared" si="12"/>
        <v>5.373433732553243</v>
      </c>
      <c r="J57" s="1">
        <f t="shared" si="9"/>
        <v>42.2091108342148</v>
      </c>
      <c r="K57" s="1">
        <f t="shared" si="13"/>
        <v>45.090485834214796</v>
      </c>
    </row>
    <row r="58" spans="5:11" ht="12.75">
      <c r="E58">
        <v>135</v>
      </c>
      <c r="F58" s="4">
        <f t="shared" si="10"/>
        <v>5.148342286295201</v>
      </c>
      <c r="H58" s="1">
        <f t="shared" si="11"/>
        <v>40.41426940883596</v>
      </c>
      <c r="I58" s="1">
        <f t="shared" si="12"/>
        <v>4.9732986485611645</v>
      </c>
      <c r="J58" s="1">
        <f t="shared" si="9"/>
        <v>41.975811039909566</v>
      </c>
      <c r="K58" s="1">
        <f t="shared" si="13"/>
        <v>44.857186039909564</v>
      </c>
    </row>
    <row r="59" spans="5:11" ht="12.75">
      <c r="E59">
        <v>150</v>
      </c>
      <c r="F59" s="4">
        <f t="shared" si="10"/>
        <v>4.830493072089943</v>
      </c>
      <c r="H59" s="1">
        <f t="shared" si="11"/>
        <v>40.00007599794794</v>
      </c>
      <c r="I59" s="1">
        <f t="shared" si="12"/>
        <v>4.666256307638885</v>
      </c>
      <c r="J59" s="1">
        <f t="shared" si="9"/>
        <v>41.61427099789804</v>
      </c>
      <c r="K59" s="1">
        <f t="shared" si="13"/>
        <v>44.49564599789804</v>
      </c>
    </row>
    <row r="60" spans="5:11" ht="12.75">
      <c r="E60">
        <v>165</v>
      </c>
      <c r="F60" s="4">
        <f t="shared" si="10"/>
        <v>4.6306733338837525</v>
      </c>
      <c r="H60" s="1">
        <f t="shared" si="11"/>
        <v>39.517731331949484</v>
      </c>
      <c r="I60" s="1">
        <f t="shared" si="12"/>
        <v>4.4732304405317045</v>
      </c>
      <c r="J60" s="1">
        <f t="shared" si="9"/>
        <v>41.149128243413855</v>
      </c>
      <c r="K60" s="1">
        <f t="shared" si="13"/>
        <v>44.030503243413854</v>
      </c>
    </row>
    <row r="61" spans="5:11" ht="12.75">
      <c r="E61">
        <v>180</v>
      </c>
      <c r="F61" s="4">
        <f t="shared" si="10"/>
        <v>4.562500002772401</v>
      </c>
      <c r="H61" s="1">
        <f t="shared" si="11"/>
        <v>39.00010530717954</v>
      </c>
      <c r="I61" s="1">
        <f t="shared" si="12"/>
        <v>4.4073750026781395</v>
      </c>
      <c r="J61" s="1">
        <f t="shared" si="9"/>
        <v>40.612080430024015</v>
      </c>
      <c r="K61" s="1">
        <f t="shared" si="13"/>
        <v>43.493455430024014</v>
      </c>
    </row>
    <row r="62" spans="5:11" ht="12.75">
      <c r="E62">
        <v>195</v>
      </c>
      <c r="F62" s="4">
        <f t="shared" si="10"/>
        <v>4.630618823769097</v>
      </c>
      <c r="H62" s="1">
        <f t="shared" si="11"/>
        <v>38.482472106138516</v>
      </c>
      <c r="I62" s="1">
        <f t="shared" si="12"/>
        <v>4.473177783760947</v>
      </c>
      <c r="J62" s="1">
        <f t="shared" si="9"/>
        <v>40.039725258915155</v>
      </c>
      <c r="K62" s="1">
        <f t="shared" si="13"/>
        <v>42.92110025891515</v>
      </c>
    </row>
    <row r="63" spans="5:11" ht="12.75">
      <c r="E63">
        <v>210</v>
      </c>
      <c r="F63" s="4">
        <f t="shared" si="10"/>
        <v>4.8303877665110555</v>
      </c>
      <c r="H63" s="1">
        <f t="shared" si="11"/>
        <v>38.000106400361545</v>
      </c>
      <c r="I63" s="1">
        <f t="shared" si="12"/>
        <v>4.666154582449679</v>
      </c>
      <c r="J63" s="1">
        <f t="shared" si="9"/>
        <v>39.47106648916165</v>
      </c>
      <c r="K63" s="1">
        <f t="shared" si="13"/>
        <v>42.35244148916165</v>
      </c>
    </row>
    <row r="64" spans="5:11" ht="12.75">
      <c r="E64">
        <v>225</v>
      </c>
      <c r="F64" s="4">
        <f t="shared" si="10"/>
        <v>5.148193361414079</v>
      </c>
      <c r="H64" s="1">
        <f t="shared" si="11"/>
        <v>37.58587951996593</v>
      </c>
      <c r="I64" s="1">
        <f t="shared" si="12"/>
        <v>4.973154787126</v>
      </c>
      <c r="J64" s="1">
        <f t="shared" si="9"/>
        <v>38.94485598458964</v>
      </c>
      <c r="K64" s="1">
        <f t="shared" si="13"/>
        <v>41.826230984589635</v>
      </c>
    </row>
    <row r="65" spans="5:11" ht="12.75">
      <c r="E65">
        <v>240</v>
      </c>
      <c r="F65" s="4">
        <f t="shared" si="10"/>
        <v>5.562378404207492</v>
      </c>
      <c r="H65" s="1">
        <f t="shared" si="11"/>
        <v>37.268019401485844</v>
      </c>
      <c r="I65" s="1">
        <f t="shared" si="12"/>
        <v>5.373257538464437</v>
      </c>
      <c r="J65" s="1">
        <f t="shared" si="9"/>
        <v>38.496952926313796</v>
      </c>
      <c r="K65" s="1">
        <f t="shared" si="13"/>
        <v>41.378327926313794</v>
      </c>
    </row>
    <row r="66" spans="5:11" ht="12.75">
      <c r="E66">
        <v>255</v>
      </c>
      <c r="F66" s="4">
        <f t="shared" si="10"/>
        <v>6.04471780942553</v>
      </c>
      <c r="H66" s="1">
        <f t="shared" si="11"/>
        <v>37.06818696475981</v>
      </c>
      <c r="I66" s="1">
        <f t="shared" si="12"/>
        <v>5.839197403905062</v>
      </c>
      <c r="J66" s="1">
        <f t="shared" si="9"/>
        <v>38.15788015025054</v>
      </c>
      <c r="K66" s="1">
        <f t="shared" si="13"/>
        <v>41.03925515025054</v>
      </c>
    </row>
    <row r="67" spans="5:11" ht="12.75">
      <c r="E67">
        <v>270</v>
      </c>
      <c r="F67" s="4">
        <f t="shared" si="10"/>
        <v>6.562342039230783</v>
      </c>
      <c r="H67" s="1">
        <f t="shared" si="11"/>
        <v>37.000000006237904</v>
      </c>
      <c r="I67" s="1">
        <f t="shared" si="12"/>
        <v>6.339222409896936</v>
      </c>
      <c r="J67" s="1">
        <f t="shared" si="9"/>
        <v>37.950744135617356</v>
      </c>
      <c r="K67" s="1">
        <f t="shared" si="13"/>
        <v>40.832119135617354</v>
      </c>
    </row>
    <row r="68" spans="5:11" ht="12.75">
      <c r="E68">
        <v>285</v>
      </c>
      <c r="F68" s="4">
        <f>COS(E68*0.017453)*$C$10/2+$A$10+w/2</f>
        <v>7.079977033442647</v>
      </c>
      <c r="H68" s="1">
        <f t="shared" si="11"/>
        <v>37.068105199587876</v>
      </c>
      <c r="I68" s="1">
        <f t="shared" si="12"/>
        <v>6.839257814305597</v>
      </c>
      <c r="J68" s="1">
        <f t="shared" si="9"/>
        <v>37.88966038904053</v>
      </c>
      <c r="K68" s="1">
        <f t="shared" si="13"/>
        <v>40.77103538904053</v>
      </c>
    </row>
    <row r="69" spans="5:11" ht="12.75">
      <c r="E69">
        <v>300</v>
      </c>
      <c r="F69" s="4">
        <f t="shared" si="10"/>
        <v>7.562347998328434</v>
      </c>
      <c r="H69" s="1">
        <f t="shared" si="11"/>
        <v>37.2678614431176</v>
      </c>
      <c r="I69" s="1">
        <f t="shared" si="12"/>
        <v>7.305228166385267</v>
      </c>
      <c r="J69" s="1">
        <f t="shared" si="9"/>
        <v>37.978791528165715</v>
      </c>
      <c r="K69" s="1">
        <f t="shared" si="13"/>
        <v>40.86016652816571</v>
      </c>
    </row>
    <row r="70" spans="5:11" ht="12.75">
      <c r="E70">
        <v>315</v>
      </c>
      <c r="F70" s="4">
        <f t="shared" si="10"/>
        <v>7.9765832453832175</v>
      </c>
      <c r="H70" s="1">
        <f t="shared" si="11"/>
        <v>37.585656132644374</v>
      </c>
      <c r="I70" s="1">
        <f t="shared" si="12"/>
        <v>7.705379415040188</v>
      </c>
      <c r="J70" s="1">
        <f t="shared" si="9"/>
        <v>38.21206361559891</v>
      </c>
      <c r="K70" s="1">
        <f t="shared" si="13"/>
        <v>41.093438615598906</v>
      </c>
    </row>
    <row r="71" spans="5:11" ht="12.75">
      <c r="E71">
        <v>330</v>
      </c>
      <c r="F71" s="4">
        <f t="shared" si="10"/>
        <v>8.294454267917814</v>
      </c>
      <c r="H71" s="1">
        <f t="shared" si="11"/>
        <v>37.99983280705611</v>
      </c>
      <c r="I71" s="1">
        <f t="shared" si="12"/>
        <v>8.012442822808609</v>
      </c>
      <c r="J71" s="1">
        <f t="shared" si="9"/>
        <v>38.57358007390654</v>
      </c>
      <c r="K71" s="1">
        <f t="shared" si="13"/>
        <v>41.45495507390654</v>
      </c>
    </row>
    <row r="72" spans="5:11" ht="12.75">
      <c r="E72">
        <v>345</v>
      </c>
      <c r="F72" s="4">
        <f t="shared" si="10"/>
        <v>8.494299403025185</v>
      </c>
      <c r="H72" s="1">
        <f t="shared" si="11"/>
        <v>38.482166951159414</v>
      </c>
      <c r="I72" s="1">
        <f t="shared" si="12"/>
        <v>8.205493223322328</v>
      </c>
      <c r="J72" s="1">
        <f t="shared" si="9"/>
        <v>39.038704974991866</v>
      </c>
      <c r="K72" s="1">
        <f t="shared" si="13"/>
        <v>41.920079974991864</v>
      </c>
    </row>
    <row r="73" spans="5:11" ht="12.75">
      <c r="E73">
        <v>360</v>
      </c>
      <c r="F73" s="4">
        <f t="shared" si="10"/>
        <v>8.562499988910398</v>
      </c>
      <c r="H73" s="1">
        <f t="shared" si="11"/>
        <v>38.999789385641215</v>
      </c>
      <c r="I73" s="1">
        <f t="shared" si="12"/>
        <v>8.271374989287445</v>
      </c>
      <c r="J73" s="1">
        <f t="shared" si="9"/>
        <v>39.57574188192696</v>
      </c>
      <c r="K73" s="1">
        <f t="shared" si="13"/>
        <v>42.45711688192696</v>
      </c>
    </row>
    <row r="75" spans="6:11" ht="12.75">
      <c r="F75">
        <v>0</v>
      </c>
      <c r="G75">
        <f>ft</f>
        <v>0.75</v>
      </c>
      <c r="H75" s="1">
        <f>h</f>
        <v>42</v>
      </c>
      <c r="I75" s="1">
        <f t="shared" si="12"/>
        <v>0.7244999999999999</v>
      </c>
      <c r="J75" s="1">
        <f t="shared" si="9"/>
        <v>45.202801624808714</v>
      </c>
      <c r="K75" s="1">
        <f t="shared" si="13"/>
        <v>48.08417662480871</v>
      </c>
    </row>
    <row r="76" spans="6:11" ht="12.75">
      <c r="F76">
        <f>w</f>
        <v>11.125</v>
      </c>
      <c r="G76">
        <f>ft</f>
        <v>0.75</v>
      </c>
      <c r="H76">
        <f>h</f>
        <v>42</v>
      </c>
      <c r="I76" s="1">
        <f>F76*0.966+G76*0.966</f>
        <v>11.471250000000001</v>
      </c>
      <c r="J76" s="1">
        <f t="shared" si="9"/>
        <v>42.321426624808716</v>
      </c>
      <c r="K76" s="1">
        <f t="shared" si="13"/>
        <v>45.202801624808714</v>
      </c>
    </row>
    <row r="77" spans="6:11" ht="12.75">
      <c r="F77">
        <f>w</f>
        <v>11.125</v>
      </c>
      <c r="G77">
        <f>ft</f>
        <v>0.75</v>
      </c>
      <c r="H77">
        <v>0</v>
      </c>
      <c r="I77" s="1">
        <f>F77*0.966+G77*0.966</f>
        <v>11.471250000000001</v>
      </c>
      <c r="J77" s="1">
        <f t="shared" si="9"/>
        <v>-2.6871250000000004</v>
      </c>
      <c r="K77" s="1">
        <f t="shared" si="13"/>
        <v>0.1942499999999998</v>
      </c>
    </row>
    <row r="78" ht="12.75"/>
    <row r="79" spans="6:11" ht="12.75">
      <c r="F79">
        <f>st</f>
        <v>0.75</v>
      </c>
      <c r="G79">
        <f>ft</f>
        <v>0.75</v>
      </c>
      <c r="H79">
        <f>h</f>
        <v>42</v>
      </c>
      <c r="I79" s="1">
        <f>F79*0.966+G79*0.966</f>
        <v>1.4489999999999998</v>
      </c>
      <c r="J79" s="1">
        <f t="shared" si="9"/>
        <v>45.00855162480872</v>
      </c>
      <c r="K79" s="1">
        <f t="shared" si="13"/>
        <v>47.889926624808716</v>
      </c>
    </row>
    <row r="80" spans="6:11" ht="12.75">
      <c r="F80">
        <f>st</f>
        <v>0.75</v>
      </c>
      <c r="G80">
        <f>d-rt</f>
        <v>17.25</v>
      </c>
      <c r="H80">
        <f>h</f>
        <v>42</v>
      </c>
      <c r="I80" s="1">
        <f>F80*0.966+G80*0.966</f>
        <v>17.387999999999998</v>
      </c>
      <c r="J80" s="1">
        <f t="shared" si="9"/>
        <v>49.282051624808716</v>
      </c>
      <c r="K80" s="1">
        <f t="shared" si="13"/>
        <v>52.163426624808714</v>
      </c>
    </row>
    <row r="81" ht="12.75"/>
    <row r="82" spans="6:11" ht="12.75">
      <c r="F82">
        <f>w-st</f>
        <v>10.375</v>
      </c>
      <c r="G82">
        <f>ft</f>
        <v>0.75</v>
      </c>
      <c r="H82">
        <f>h</f>
        <v>42</v>
      </c>
      <c r="I82" s="1">
        <f>F82*0.966+G82*0.966</f>
        <v>10.746749999999999</v>
      </c>
      <c r="J82" s="1">
        <f t="shared" si="9"/>
        <v>42.51567662480872</v>
      </c>
      <c r="K82" s="1">
        <f t="shared" si="13"/>
        <v>45.39705162480872</v>
      </c>
    </row>
    <row r="83" spans="6:11" ht="12.75">
      <c r="F83">
        <f>w-st</f>
        <v>10.375</v>
      </c>
      <c r="G83">
        <f>d-rt</f>
        <v>17.25</v>
      </c>
      <c r="H83">
        <f>h</f>
        <v>42</v>
      </c>
      <c r="I83" s="1">
        <f>F83*0.966+G83*0.966</f>
        <v>26.68575</v>
      </c>
      <c r="J83" s="1">
        <f t="shared" si="9"/>
        <v>46.78917662480872</v>
      </c>
      <c r="K83" s="1">
        <f t="shared" si="13"/>
        <v>49.670551624808716</v>
      </c>
    </row>
    <row r="84" ht="12.75"/>
    <row r="85" spans="6:11" ht="12.75">
      <c r="F85">
        <f>F75</f>
        <v>0</v>
      </c>
      <c r="G85">
        <f>G80</f>
        <v>17.25</v>
      </c>
      <c r="H85" s="1">
        <f>H75</f>
        <v>42</v>
      </c>
      <c r="I85" s="1">
        <f>F85*0.966+G85*0.966</f>
        <v>16.6635</v>
      </c>
      <c r="J85" s="1">
        <f>-F85*0.259+G85*0.259+H85/0.966/0.966</f>
        <v>49.47630162480872</v>
      </c>
      <c r="K85" s="1">
        <f t="shared" si="13"/>
        <v>52.35767662480872</v>
      </c>
    </row>
    <row r="86" spans="6:11" ht="12.75">
      <c r="F86">
        <f>F76</f>
        <v>11.125</v>
      </c>
      <c r="G86">
        <f>G85</f>
        <v>17.25</v>
      </c>
      <c r="H86" s="1">
        <f>H76</f>
        <v>42</v>
      </c>
      <c r="I86" s="1">
        <f>F86*0.966+G86*0.966</f>
        <v>27.410249999999998</v>
      </c>
      <c r="J86" s="1">
        <f>-F86*0.259+G86*0.259+H86/0.966/0.966</f>
        <v>46.59492662480872</v>
      </c>
      <c r="K86" s="1">
        <f t="shared" si="13"/>
        <v>49.47630162480872</v>
      </c>
    </row>
    <row r="87" spans="6:11" ht="12.75">
      <c r="F87">
        <f>F77</f>
        <v>11.125</v>
      </c>
      <c r="G87">
        <f>G86</f>
        <v>17.25</v>
      </c>
      <c r="H87" s="1">
        <f>H77</f>
        <v>0</v>
      </c>
      <c r="I87" s="1">
        <f>F87*0.966+G87*0.966</f>
        <v>27.410249999999998</v>
      </c>
      <c r="J87" s="1">
        <f>-F87*0.259+G87*0.259+H87/0.966/0.966</f>
        <v>1.5863750000000003</v>
      </c>
      <c r="K87" s="1">
        <f t="shared" si="13"/>
        <v>4.4677500000000006</v>
      </c>
    </row>
    <row r="89" spans="5:11" ht="12.75">
      <c r="E89">
        <v>0</v>
      </c>
      <c r="F89" s="4">
        <f>COS(E49*0.017453)*$C$12/2+$A$12+w/2</f>
        <v>10.5625</v>
      </c>
      <c r="G89" s="4"/>
      <c r="H89" s="1">
        <f>SIN(E49*0.017453)*$C$12/2+$B$12</f>
        <v>18</v>
      </c>
      <c r="I89" s="1">
        <f>F89*0.966+G89*0.966</f>
        <v>10.203375</v>
      </c>
      <c r="J89" s="1">
        <f>-F89*0.259+G89*0.259+H89/0.966/0.966</f>
        <v>16.553691767775163</v>
      </c>
      <c r="K89" s="1">
        <f t="shared" si="13"/>
        <v>19.43506676777516</v>
      </c>
    </row>
    <row r="90" spans="5:11" ht="12.75">
      <c r="E90">
        <v>15</v>
      </c>
      <c r="F90" s="4">
        <f aca="true" t="shared" si="14" ref="F90:F113">COS(E50*0.017453)*$C$12/2+$A$12+w/2</f>
        <v>10.392134809628779</v>
      </c>
      <c r="G90" s="4"/>
      <c r="H90" s="1">
        <f aca="true" t="shared" si="15" ref="H90:H113">SIN(E50*0.017453)*$C$12/2+$B$12</f>
        <v>19.29407403405755</v>
      </c>
      <c r="I90" s="1">
        <f aca="true" t="shared" si="16" ref="I90:I113">F90*0.966+G90*0.966</f>
        <v>10.0388022261014</v>
      </c>
      <c r="J90" s="1">
        <f aca="true" t="shared" si="17" ref="J90:J113">-F90*0.259+G90*0.259+H90/0.966/0.966</f>
        <v>17.984587732276637</v>
      </c>
      <c r="K90" s="1">
        <f t="shared" si="13"/>
        <v>20.865962732276635</v>
      </c>
    </row>
    <row r="91" spans="5:11" ht="12.75">
      <c r="E91">
        <v>30</v>
      </c>
      <c r="F91" s="4">
        <f t="shared" si="14"/>
        <v>9.892648957751206</v>
      </c>
      <c r="G91" s="4"/>
      <c r="H91" s="1">
        <f t="shared" si="15"/>
        <v>20.499962000448434</v>
      </c>
      <c r="I91" s="1">
        <f t="shared" si="16"/>
        <v>9.556298893187664</v>
      </c>
      <c r="J91" s="1">
        <f t="shared" si="17"/>
        <v>19.406222920032924</v>
      </c>
      <c r="K91" s="1">
        <f t="shared" si="13"/>
        <v>22.287597920032923</v>
      </c>
    </row>
    <row r="92" spans="5:11" ht="12.75">
      <c r="E92">
        <v>45</v>
      </c>
      <c r="F92" s="4">
        <f t="shared" si="14"/>
        <v>9.098080445264422</v>
      </c>
      <c r="G92" s="4"/>
      <c r="H92" s="1">
        <f t="shared" si="15"/>
        <v>21.535487365988434</v>
      </c>
      <c r="I92" s="1">
        <f t="shared" si="16"/>
        <v>8.788745710125431</v>
      </c>
      <c r="J92" s="1">
        <f t="shared" si="17"/>
        <v>20.721718471283808</v>
      </c>
      <c r="K92" s="1">
        <f t="shared" si="13"/>
        <v>23.603093471283806</v>
      </c>
    </row>
    <row r="93" spans="5:11" ht="12.75">
      <c r="E93">
        <v>60</v>
      </c>
      <c r="F93" s="4">
        <f t="shared" si="14"/>
        <v>8.062575998525542</v>
      </c>
      <c r="G93" s="4"/>
      <c r="H93" s="1">
        <f t="shared" si="15"/>
        <v>22.330083140263767</v>
      </c>
      <c r="I93" s="1">
        <f t="shared" si="16"/>
        <v>7.788448414575673</v>
      </c>
      <c r="J93" s="1">
        <f t="shared" si="17"/>
        <v>21.841428526020753</v>
      </c>
      <c r="K93" s="1">
        <f t="shared" si="13"/>
        <v>24.722803526020755</v>
      </c>
    </row>
    <row r="94" spans="5:11" ht="12.75">
      <c r="E94">
        <v>75</v>
      </c>
      <c r="F94" s="4">
        <f t="shared" si="14"/>
        <v>6.856701182414134</v>
      </c>
      <c r="G94" s="4"/>
      <c r="H94" s="1">
        <f t="shared" si="15"/>
        <v>22.829600739133397</v>
      </c>
      <c r="I94" s="1">
        <f t="shared" si="16"/>
        <v>6.623573342212053</v>
      </c>
      <c r="J94" s="1">
        <f t="shared" si="17"/>
        <v>22.689049237589423</v>
      </c>
      <c r="K94" s="1">
        <f t="shared" si="13"/>
        <v>25.57042423758942</v>
      </c>
    </row>
    <row r="95" spans="5:11" ht="12.75">
      <c r="E95">
        <v>90</v>
      </c>
      <c r="F95" s="4">
        <f t="shared" si="14"/>
        <v>5.562631633974468</v>
      </c>
      <c r="G95" s="4"/>
      <c r="H95" s="1">
        <f t="shared" si="15"/>
        <v>22.99999999826725</v>
      </c>
      <c r="I95" s="1">
        <f t="shared" si="16"/>
        <v>5.373502158419336</v>
      </c>
      <c r="J95" s="1">
        <f t="shared" si="17"/>
        <v>23.20681858043423</v>
      </c>
      <c r="K95" s="1">
        <f t="shared" si="13"/>
        <v>26.08819358043423</v>
      </c>
    </row>
    <row r="96" spans="5:11" ht="12.75">
      <c r="E96">
        <v>105</v>
      </c>
      <c r="F96" s="4">
        <f t="shared" si="14"/>
        <v>4.268553115195954</v>
      </c>
      <c r="G96" s="4"/>
      <c r="H96" s="1">
        <f t="shared" si="15"/>
        <v>22.82966887677674</v>
      </c>
      <c r="I96" s="1">
        <f t="shared" si="16"/>
        <v>4.123422309279292</v>
      </c>
      <c r="J96" s="1">
        <f t="shared" si="17"/>
        <v>23.35945260549031</v>
      </c>
      <c r="K96" s="1">
        <f t="shared" si="13"/>
        <v>26.24082760549031</v>
      </c>
    </row>
    <row r="97" spans="5:11" ht="12.75">
      <c r="E97">
        <v>120</v>
      </c>
      <c r="F97" s="4">
        <f t="shared" si="14"/>
        <v>3.062651999361396</v>
      </c>
      <c r="G97" s="4"/>
      <c r="H97" s="1">
        <f t="shared" si="15"/>
        <v>22.33021477223742</v>
      </c>
      <c r="I97" s="1">
        <f t="shared" si="16"/>
        <v>2.9585218313831083</v>
      </c>
      <c r="J97" s="1">
        <f t="shared" si="17"/>
        <v>23.136549902863354</v>
      </c>
      <c r="K97" s="1">
        <f t="shared" si="13"/>
        <v>26.017924902863356</v>
      </c>
    </row>
    <row r="98" spans="5:11" ht="12.75">
      <c r="E98">
        <v>135</v>
      </c>
      <c r="F98" s="4">
        <f t="shared" si="14"/>
        <v>2.0271057157380032</v>
      </c>
      <c r="G98" s="4"/>
      <c r="H98" s="1">
        <f t="shared" si="15"/>
        <v>21.5356735220899</v>
      </c>
      <c r="I98" s="1">
        <f t="shared" si="16"/>
        <v>1.958184121402911</v>
      </c>
      <c r="J98" s="1">
        <f t="shared" si="17"/>
        <v>22.55330041710027</v>
      </c>
      <c r="K98" s="1">
        <f t="shared" si="13"/>
        <v>25.434675417100273</v>
      </c>
    </row>
    <row r="99" spans="5:11" ht="12.75">
      <c r="E99">
        <v>150</v>
      </c>
      <c r="F99" s="4">
        <f t="shared" si="14"/>
        <v>1.232482680224857</v>
      </c>
      <c r="G99" s="4"/>
      <c r="H99" s="1">
        <f t="shared" si="15"/>
        <v>20.500189994869846</v>
      </c>
      <c r="I99" s="1">
        <f t="shared" si="16"/>
        <v>1.1905782690972118</v>
      </c>
      <c r="J99" s="1">
        <f t="shared" si="17"/>
        <v>21.649450312071444</v>
      </c>
      <c r="K99" s="1">
        <f t="shared" si="13"/>
        <v>24.530825312071443</v>
      </c>
    </row>
    <row r="100" spans="5:11" ht="12.75">
      <c r="E100">
        <v>165</v>
      </c>
      <c r="F100" s="4">
        <f t="shared" si="14"/>
        <v>0.732933334709382</v>
      </c>
      <c r="G100" s="4"/>
      <c r="H100" s="1">
        <f t="shared" si="15"/>
        <v>19.294328329873707</v>
      </c>
      <c r="I100" s="1">
        <f t="shared" si="16"/>
        <v>0.708013601329263</v>
      </c>
      <c r="J100" s="1">
        <f t="shared" si="17"/>
        <v>20.486593425860985</v>
      </c>
      <c r="K100" s="1">
        <f t="shared" si="13"/>
        <v>23.367968425860987</v>
      </c>
    </row>
    <row r="101" spans="5:11" ht="12.75">
      <c r="E101">
        <v>180</v>
      </c>
      <c r="F101" s="4">
        <f t="shared" si="14"/>
        <v>0.5625000069310016</v>
      </c>
      <c r="G101" s="4"/>
      <c r="H101" s="1">
        <f t="shared" si="15"/>
        <v>18.000263267948846</v>
      </c>
      <c r="I101" s="1">
        <f t="shared" si="16"/>
        <v>0.5433750066953474</v>
      </c>
      <c r="J101" s="1">
        <f t="shared" si="17"/>
        <v>19.143973892386384</v>
      </c>
      <c r="K101" s="1">
        <f t="shared" si="13"/>
        <v>22.025348892386383</v>
      </c>
    </row>
    <row r="102" spans="5:11" ht="12.75">
      <c r="E102">
        <v>195</v>
      </c>
      <c r="F102" s="4">
        <f t="shared" si="14"/>
        <v>0.732797059422742</v>
      </c>
      <c r="G102" s="4"/>
      <c r="H102" s="1">
        <f t="shared" si="15"/>
        <v>16.706180265346294</v>
      </c>
      <c r="I102" s="1">
        <f t="shared" si="16"/>
        <v>0.7078819594023688</v>
      </c>
      <c r="J102" s="1">
        <f t="shared" si="17"/>
        <v>17.713085964614255</v>
      </c>
      <c r="K102" s="1">
        <f t="shared" si="13"/>
        <v>20.594460964614257</v>
      </c>
    </row>
    <row r="103" spans="5:11" ht="12.75">
      <c r="E103">
        <v>210</v>
      </c>
      <c r="F103" s="4">
        <f t="shared" si="14"/>
        <v>1.2322194162776379</v>
      </c>
      <c r="G103" s="4"/>
      <c r="H103" s="1">
        <f t="shared" si="15"/>
        <v>15.500266000903872</v>
      </c>
      <c r="I103" s="1">
        <f t="shared" si="16"/>
        <v>1.190323956124198</v>
      </c>
      <c r="J103" s="1">
        <f t="shared" si="17"/>
        <v>16.291439040230504</v>
      </c>
      <c r="K103" s="1">
        <f t="shared" si="13"/>
        <v>19.172814040230506</v>
      </c>
    </row>
    <row r="104" spans="5:11" ht="12.75">
      <c r="E104">
        <v>225</v>
      </c>
      <c r="F104" s="4">
        <f t="shared" si="14"/>
        <v>2.026733403535198</v>
      </c>
      <c r="G104" s="4"/>
      <c r="H104" s="1">
        <f t="shared" si="15"/>
        <v>14.46469879991482</v>
      </c>
      <c r="I104" s="1">
        <f t="shared" si="16"/>
        <v>1.957824467815001</v>
      </c>
      <c r="J104" s="1">
        <f t="shared" si="17"/>
        <v>14.975912778800453</v>
      </c>
      <c r="K104" s="1">
        <f t="shared" si="13"/>
        <v>17.857287778800455</v>
      </c>
    </row>
    <row r="105" spans="5:11" ht="12.75">
      <c r="E105">
        <v>240</v>
      </c>
      <c r="F105" s="4">
        <f t="shared" si="14"/>
        <v>3.0621960105187305</v>
      </c>
      <c r="G105" s="4"/>
      <c r="H105" s="1">
        <f t="shared" si="15"/>
        <v>13.670048503714614</v>
      </c>
      <c r="I105" s="1">
        <f t="shared" si="16"/>
        <v>2.9580813461610935</v>
      </c>
      <c r="J105" s="1">
        <f t="shared" si="17"/>
        <v>13.856155133110848</v>
      </c>
      <c r="K105" s="1">
        <f t="shared" si="13"/>
        <v>16.737530133110848</v>
      </c>
    </row>
    <row r="106" spans="5:11" ht="12.75">
      <c r="E106">
        <v>255</v>
      </c>
      <c r="F106" s="4">
        <f t="shared" si="14"/>
        <v>4.268044523563823</v>
      </c>
      <c r="G106" s="4"/>
      <c r="H106" s="1">
        <f t="shared" si="15"/>
        <v>13.170467411899534</v>
      </c>
      <c r="I106" s="1">
        <f t="shared" si="16"/>
        <v>4.122931009762653</v>
      </c>
      <c r="J106" s="1">
        <f t="shared" si="17"/>
        <v>13.008473192952707</v>
      </c>
      <c r="K106" s="1">
        <f t="shared" si="13"/>
        <v>15.889848192952707</v>
      </c>
    </row>
    <row r="107" spans="5:11" ht="12.75">
      <c r="E107">
        <v>270</v>
      </c>
      <c r="F107" s="4">
        <f t="shared" si="14"/>
        <v>5.562105098076959</v>
      </c>
      <c r="G107" s="4"/>
      <c r="H107" s="1">
        <f t="shared" si="15"/>
        <v>13.000000015594754</v>
      </c>
      <c r="I107" s="1">
        <f t="shared" si="16"/>
        <v>5.372993524742342</v>
      </c>
      <c r="J107" s="1">
        <f t="shared" si="17"/>
        <v>12.49063315636975</v>
      </c>
      <c r="K107" s="1">
        <f t="shared" si="13"/>
        <v>15.37200815636975</v>
      </c>
    </row>
    <row r="108" spans="5:11" ht="12.75">
      <c r="E108">
        <v>285</v>
      </c>
      <c r="F108" s="4">
        <f t="shared" si="14"/>
        <v>6.856192583606618</v>
      </c>
      <c r="G108" s="4"/>
      <c r="H108" s="1">
        <f t="shared" si="15"/>
        <v>13.170262998969692</v>
      </c>
      <c r="I108" s="1">
        <f t="shared" si="16"/>
        <v>6.623082035763993</v>
      </c>
      <c r="J108" s="1">
        <f t="shared" si="17"/>
        <v>12.337923789927682</v>
      </c>
      <c r="K108" s="1">
        <f t="shared" si="13"/>
        <v>15.219298789927683</v>
      </c>
    </row>
    <row r="109" spans="5:11" ht="12.75">
      <c r="E109">
        <v>300</v>
      </c>
      <c r="F109" s="4">
        <f t="shared" si="14"/>
        <v>8.062119995821085</v>
      </c>
      <c r="G109" s="4"/>
      <c r="H109" s="1">
        <f t="shared" si="15"/>
        <v>13.669653607794015</v>
      </c>
      <c r="I109" s="1">
        <f t="shared" si="16"/>
        <v>7.788007915963168</v>
      </c>
      <c r="J109" s="1">
        <f t="shared" si="17"/>
        <v>12.560751637740662</v>
      </c>
      <c r="K109" s="1">
        <f t="shared" si="13"/>
        <v>15.442126637740662</v>
      </c>
    </row>
    <row r="110" spans="5:11" ht="12.75">
      <c r="E110">
        <v>315</v>
      </c>
      <c r="F110" s="4">
        <f t="shared" si="14"/>
        <v>9.097708113458044</v>
      </c>
      <c r="G110" s="4"/>
      <c r="H110" s="1">
        <f t="shared" si="15"/>
        <v>14.464140331610938</v>
      </c>
      <c r="I110" s="1">
        <f t="shared" si="16"/>
        <v>8.78838603760047</v>
      </c>
      <c r="J110" s="1">
        <f t="shared" si="17"/>
        <v>13.143931856323622</v>
      </c>
      <c r="K110" s="1">
        <f t="shared" si="13"/>
        <v>16.025306856323624</v>
      </c>
    </row>
    <row r="111" spans="5:11" ht="12.75">
      <c r="E111">
        <v>330</v>
      </c>
      <c r="F111" s="4">
        <f t="shared" si="14"/>
        <v>9.892385669794535</v>
      </c>
      <c r="G111" s="4"/>
      <c r="H111" s="1">
        <f t="shared" si="15"/>
        <v>15.499582017640268</v>
      </c>
      <c r="I111" s="1">
        <f t="shared" si="16"/>
        <v>9.55604455702152</v>
      </c>
      <c r="J111" s="1">
        <f t="shared" si="17"/>
        <v>14.047723002092713</v>
      </c>
      <c r="K111" s="1">
        <f t="shared" si="13"/>
        <v>16.929098002092715</v>
      </c>
    </row>
    <row r="112" spans="5:11" ht="12.75">
      <c r="E112">
        <v>345</v>
      </c>
      <c r="F112" s="4">
        <f t="shared" si="14"/>
        <v>10.391998507562963</v>
      </c>
      <c r="G112" s="4"/>
      <c r="H112" s="1">
        <f t="shared" si="15"/>
        <v>16.705417377898534</v>
      </c>
      <c r="I112" s="1">
        <f t="shared" si="16"/>
        <v>10.038670558305823</v>
      </c>
      <c r="J112" s="1">
        <f t="shared" si="17"/>
        <v>15.210535254806024</v>
      </c>
      <c r="K112" s="1">
        <f t="shared" si="13"/>
        <v>18.091910254806024</v>
      </c>
    </row>
    <row r="113" spans="5:11" ht="12.75">
      <c r="E113">
        <v>360</v>
      </c>
      <c r="F113" s="4">
        <f t="shared" si="14"/>
        <v>10.562499972275994</v>
      </c>
      <c r="G113" s="4"/>
      <c r="H113" s="1">
        <f t="shared" si="15"/>
        <v>17.99947346410304</v>
      </c>
      <c r="I113" s="1">
        <f t="shared" si="16"/>
        <v>10.20337497321861</v>
      </c>
      <c r="J113" s="1">
        <f t="shared" si="17"/>
        <v>16.55312752214376</v>
      </c>
      <c r="K113" s="1">
        <f t="shared" si="13"/>
        <v>19.43450252214376</v>
      </c>
    </row>
    <row r="115" spans="5:12" ht="12.75">
      <c r="E115">
        <v>0</v>
      </c>
      <c r="F115" s="4">
        <f aca="true" t="shared" si="18" ref="F115:F139">w</f>
        <v>11.125</v>
      </c>
      <c r="G115" s="4">
        <f>COS(E115*0.017453)*$C$14/2+$A$14+d/2</f>
        <v>9</v>
      </c>
      <c r="H115" s="1" t="e">
        <f>SIN(E115*0.017453)*$C$14/2+$B$14</f>
        <v>#VALUE!</v>
      </c>
      <c r="I115" s="1">
        <f>F115*0.966+G115*0.966</f>
        <v>19.44075</v>
      </c>
      <c r="J115" s="1" t="e">
        <f>-F115*0.259+G115*0.259+H115/0.966/0.966</f>
        <v>#VALUE!</v>
      </c>
      <c r="K115" s="1" t="e">
        <f t="shared" si="13"/>
        <v>#VALUE!</v>
      </c>
      <c r="L115" s="4">
        <f>G115+$Q$7</f>
        <v>26.125</v>
      </c>
    </row>
    <row r="116" spans="5:12" ht="12.75">
      <c r="E116">
        <v>15</v>
      </c>
      <c r="F116" s="4">
        <f t="shared" si="18"/>
        <v>11.125</v>
      </c>
      <c r="G116" s="4">
        <f aca="true" t="shared" si="19" ref="G116:G139">COS(E116*0.017453)*$C$14/2+$A$14+d/2</f>
        <v>9</v>
      </c>
      <c r="H116" s="1" t="e">
        <f aca="true" t="shared" si="20" ref="H116:H139">SIN(E116*0.017453)*$C$14/2+$B$14</f>
        <v>#VALUE!</v>
      </c>
      <c r="I116" s="1">
        <f aca="true" t="shared" si="21" ref="I116:I139">F116*0.966+G116*0.966</f>
        <v>19.44075</v>
      </c>
      <c r="J116" s="1" t="e">
        <f aca="true" t="shared" si="22" ref="J116:J139">-F116*0.259+G116*0.259+H116/0.966/0.966</f>
        <v>#VALUE!</v>
      </c>
      <c r="K116" s="1" t="e">
        <f t="shared" si="13"/>
        <v>#VALUE!</v>
      </c>
      <c r="L116" s="4">
        <f aca="true" t="shared" si="23" ref="L116:L139">G116+$Q$7</f>
        <v>26.125</v>
      </c>
    </row>
    <row r="117" spans="5:12" ht="12.75">
      <c r="E117">
        <v>30</v>
      </c>
      <c r="F117" s="4">
        <f t="shared" si="18"/>
        <v>11.125</v>
      </c>
      <c r="G117" s="4">
        <f t="shared" si="19"/>
        <v>9</v>
      </c>
      <c r="H117" s="1" t="e">
        <f t="shared" si="20"/>
        <v>#VALUE!</v>
      </c>
      <c r="I117" s="1">
        <f t="shared" si="21"/>
        <v>19.44075</v>
      </c>
      <c r="J117" s="1" t="e">
        <f t="shared" si="22"/>
        <v>#VALUE!</v>
      </c>
      <c r="K117" s="1" t="e">
        <f t="shared" si="13"/>
        <v>#VALUE!</v>
      </c>
      <c r="L117" s="4">
        <f t="shared" si="23"/>
        <v>26.125</v>
      </c>
    </row>
    <row r="118" spans="5:12" ht="12.75">
      <c r="E118">
        <v>45</v>
      </c>
      <c r="F118" s="4">
        <f t="shared" si="18"/>
        <v>11.125</v>
      </c>
      <c r="G118" s="4">
        <f t="shared" si="19"/>
        <v>9</v>
      </c>
      <c r="H118" s="1" t="e">
        <f t="shared" si="20"/>
        <v>#VALUE!</v>
      </c>
      <c r="I118" s="1">
        <f t="shared" si="21"/>
        <v>19.44075</v>
      </c>
      <c r="J118" s="1" t="e">
        <f t="shared" si="22"/>
        <v>#VALUE!</v>
      </c>
      <c r="K118" s="1" t="e">
        <f t="shared" si="13"/>
        <v>#VALUE!</v>
      </c>
      <c r="L118" s="4">
        <f t="shared" si="23"/>
        <v>26.125</v>
      </c>
    </row>
    <row r="119" spans="5:12" ht="12.75">
      <c r="E119">
        <v>60</v>
      </c>
      <c r="F119" s="4">
        <f t="shared" si="18"/>
        <v>11.125</v>
      </c>
      <c r="G119" s="4">
        <f t="shared" si="19"/>
        <v>9</v>
      </c>
      <c r="H119" s="1" t="e">
        <f t="shared" si="20"/>
        <v>#VALUE!</v>
      </c>
      <c r="I119" s="1">
        <f t="shared" si="21"/>
        <v>19.44075</v>
      </c>
      <c r="J119" s="1" t="e">
        <f t="shared" si="22"/>
        <v>#VALUE!</v>
      </c>
      <c r="K119" s="1" t="e">
        <f aca="true" t="shared" si="24" ref="K119:K139">J119-$J$21</f>
        <v>#VALUE!</v>
      </c>
      <c r="L119" s="4">
        <f t="shared" si="23"/>
        <v>26.125</v>
      </c>
    </row>
    <row r="120" spans="5:12" ht="12.75">
      <c r="E120">
        <v>75</v>
      </c>
      <c r="F120" s="4">
        <f t="shared" si="18"/>
        <v>11.125</v>
      </c>
      <c r="G120" s="4">
        <f t="shared" si="19"/>
        <v>9</v>
      </c>
      <c r="H120" s="1" t="e">
        <f t="shared" si="20"/>
        <v>#VALUE!</v>
      </c>
      <c r="I120" s="1">
        <f t="shared" si="21"/>
        <v>19.44075</v>
      </c>
      <c r="J120" s="1" t="e">
        <f t="shared" si="22"/>
        <v>#VALUE!</v>
      </c>
      <c r="K120" s="1" t="e">
        <f t="shared" si="24"/>
        <v>#VALUE!</v>
      </c>
      <c r="L120" s="4">
        <f t="shared" si="23"/>
        <v>26.125</v>
      </c>
    </row>
    <row r="121" spans="5:12" ht="12.75">
      <c r="E121">
        <v>90</v>
      </c>
      <c r="F121" s="4">
        <f t="shared" si="18"/>
        <v>11.125</v>
      </c>
      <c r="G121" s="4">
        <f t="shared" si="19"/>
        <v>9</v>
      </c>
      <c r="H121" s="1" t="e">
        <f t="shared" si="20"/>
        <v>#VALUE!</v>
      </c>
      <c r="I121" s="1">
        <f t="shared" si="21"/>
        <v>19.44075</v>
      </c>
      <c r="J121" s="1" t="e">
        <f t="shared" si="22"/>
        <v>#VALUE!</v>
      </c>
      <c r="K121" s="1" t="e">
        <f t="shared" si="24"/>
        <v>#VALUE!</v>
      </c>
      <c r="L121" s="4">
        <f t="shared" si="23"/>
        <v>26.125</v>
      </c>
    </row>
    <row r="122" spans="5:12" ht="12.75">
      <c r="E122">
        <v>105</v>
      </c>
      <c r="F122" s="4">
        <f t="shared" si="18"/>
        <v>11.125</v>
      </c>
      <c r="G122" s="4">
        <f t="shared" si="19"/>
        <v>9</v>
      </c>
      <c r="H122" s="1" t="e">
        <f t="shared" si="20"/>
        <v>#VALUE!</v>
      </c>
      <c r="I122" s="1">
        <f t="shared" si="21"/>
        <v>19.44075</v>
      </c>
      <c r="J122" s="1" t="e">
        <f t="shared" si="22"/>
        <v>#VALUE!</v>
      </c>
      <c r="K122" s="1" t="e">
        <f t="shared" si="24"/>
        <v>#VALUE!</v>
      </c>
      <c r="L122" s="4">
        <f t="shared" si="23"/>
        <v>26.125</v>
      </c>
    </row>
    <row r="123" spans="5:12" ht="12.75">
      <c r="E123">
        <v>120</v>
      </c>
      <c r="F123" s="4">
        <f t="shared" si="18"/>
        <v>11.125</v>
      </c>
      <c r="G123" s="4">
        <f t="shared" si="19"/>
        <v>9</v>
      </c>
      <c r="H123" s="1" t="e">
        <f t="shared" si="20"/>
        <v>#VALUE!</v>
      </c>
      <c r="I123" s="1">
        <f t="shared" si="21"/>
        <v>19.44075</v>
      </c>
      <c r="J123" s="1" t="e">
        <f t="shared" si="22"/>
        <v>#VALUE!</v>
      </c>
      <c r="K123" s="1" t="e">
        <f t="shared" si="24"/>
        <v>#VALUE!</v>
      </c>
      <c r="L123" s="4">
        <f t="shared" si="23"/>
        <v>26.125</v>
      </c>
    </row>
    <row r="124" spans="5:12" ht="12.75">
      <c r="E124">
        <v>135</v>
      </c>
      <c r="F124" s="4">
        <f t="shared" si="18"/>
        <v>11.125</v>
      </c>
      <c r="G124" s="4">
        <f t="shared" si="19"/>
        <v>9</v>
      </c>
      <c r="H124" s="1" t="e">
        <f t="shared" si="20"/>
        <v>#VALUE!</v>
      </c>
      <c r="I124" s="1">
        <f t="shared" si="21"/>
        <v>19.44075</v>
      </c>
      <c r="J124" s="1" t="e">
        <f t="shared" si="22"/>
        <v>#VALUE!</v>
      </c>
      <c r="K124" s="1" t="e">
        <f t="shared" si="24"/>
        <v>#VALUE!</v>
      </c>
      <c r="L124" s="4">
        <f t="shared" si="23"/>
        <v>26.125</v>
      </c>
    </row>
    <row r="125" spans="5:12" ht="12.75">
      <c r="E125">
        <v>150</v>
      </c>
      <c r="F125" s="4">
        <f t="shared" si="18"/>
        <v>11.125</v>
      </c>
      <c r="G125" s="4">
        <f t="shared" si="19"/>
        <v>9</v>
      </c>
      <c r="H125" s="1" t="e">
        <f t="shared" si="20"/>
        <v>#VALUE!</v>
      </c>
      <c r="I125" s="1">
        <f t="shared" si="21"/>
        <v>19.44075</v>
      </c>
      <c r="J125" s="1" t="e">
        <f t="shared" si="22"/>
        <v>#VALUE!</v>
      </c>
      <c r="K125" s="1" t="e">
        <f t="shared" si="24"/>
        <v>#VALUE!</v>
      </c>
      <c r="L125" s="4">
        <f t="shared" si="23"/>
        <v>26.125</v>
      </c>
    </row>
    <row r="126" spans="5:12" ht="12.75">
      <c r="E126">
        <v>165</v>
      </c>
      <c r="F126" s="4">
        <f t="shared" si="18"/>
        <v>11.125</v>
      </c>
      <c r="G126" s="4">
        <f t="shared" si="19"/>
        <v>9</v>
      </c>
      <c r="H126" s="1" t="e">
        <f t="shared" si="20"/>
        <v>#VALUE!</v>
      </c>
      <c r="I126" s="1">
        <f t="shared" si="21"/>
        <v>19.44075</v>
      </c>
      <c r="J126" s="1" t="e">
        <f t="shared" si="22"/>
        <v>#VALUE!</v>
      </c>
      <c r="K126" s="1" t="e">
        <f t="shared" si="24"/>
        <v>#VALUE!</v>
      </c>
      <c r="L126" s="4">
        <f t="shared" si="23"/>
        <v>26.125</v>
      </c>
    </row>
    <row r="127" spans="5:12" ht="12.75">
      <c r="E127">
        <v>180</v>
      </c>
      <c r="F127" s="4">
        <f t="shared" si="18"/>
        <v>11.125</v>
      </c>
      <c r="G127" s="4">
        <f t="shared" si="19"/>
        <v>9</v>
      </c>
      <c r="H127" s="1" t="e">
        <f t="shared" si="20"/>
        <v>#VALUE!</v>
      </c>
      <c r="I127" s="1">
        <f t="shared" si="21"/>
        <v>19.44075</v>
      </c>
      <c r="J127" s="1" t="e">
        <f t="shared" si="22"/>
        <v>#VALUE!</v>
      </c>
      <c r="K127" s="1" t="e">
        <f t="shared" si="24"/>
        <v>#VALUE!</v>
      </c>
      <c r="L127" s="4">
        <f t="shared" si="23"/>
        <v>26.125</v>
      </c>
    </row>
    <row r="128" spans="5:12" ht="12.75">
      <c r="E128">
        <v>195</v>
      </c>
      <c r="F128" s="4">
        <f t="shared" si="18"/>
        <v>11.125</v>
      </c>
      <c r="G128" s="4">
        <f t="shared" si="19"/>
        <v>9</v>
      </c>
      <c r="H128" s="1" t="e">
        <f t="shared" si="20"/>
        <v>#VALUE!</v>
      </c>
      <c r="I128" s="1">
        <f t="shared" si="21"/>
        <v>19.44075</v>
      </c>
      <c r="J128" s="1" t="e">
        <f t="shared" si="22"/>
        <v>#VALUE!</v>
      </c>
      <c r="K128" s="1" t="e">
        <f t="shared" si="24"/>
        <v>#VALUE!</v>
      </c>
      <c r="L128" s="4">
        <f t="shared" si="23"/>
        <v>26.125</v>
      </c>
    </row>
    <row r="129" spans="5:12" ht="12.75">
      <c r="E129">
        <v>210</v>
      </c>
      <c r="F129" s="4">
        <f t="shared" si="18"/>
        <v>11.125</v>
      </c>
      <c r="G129" s="4">
        <f t="shared" si="19"/>
        <v>9</v>
      </c>
      <c r="H129" s="1" t="e">
        <f t="shared" si="20"/>
        <v>#VALUE!</v>
      </c>
      <c r="I129" s="1">
        <f t="shared" si="21"/>
        <v>19.44075</v>
      </c>
      <c r="J129" s="1" t="e">
        <f t="shared" si="22"/>
        <v>#VALUE!</v>
      </c>
      <c r="K129" s="1" t="e">
        <f t="shared" si="24"/>
        <v>#VALUE!</v>
      </c>
      <c r="L129" s="4">
        <f t="shared" si="23"/>
        <v>26.125</v>
      </c>
    </row>
    <row r="130" spans="5:12" ht="12.75">
      <c r="E130">
        <v>225</v>
      </c>
      <c r="F130" s="4">
        <f t="shared" si="18"/>
        <v>11.125</v>
      </c>
      <c r="G130" s="4">
        <f t="shared" si="19"/>
        <v>9</v>
      </c>
      <c r="H130" s="1" t="e">
        <f t="shared" si="20"/>
        <v>#VALUE!</v>
      </c>
      <c r="I130" s="1">
        <f t="shared" si="21"/>
        <v>19.44075</v>
      </c>
      <c r="J130" s="1" t="e">
        <f t="shared" si="22"/>
        <v>#VALUE!</v>
      </c>
      <c r="K130" s="1" t="e">
        <f t="shared" si="24"/>
        <v>#VALUE!</v>
      </c>
      <c r="L130" s="4">
        <f t="shared" si="23"/>
        <v>26.125</v>
      </c>
    </row>
    <row r="131" spans="5:12" ht="12.75">
      <c r="E131">
        <v>240</v>
      </c>
      <c r="F131" s="4">
        <f t="shared" si="18"/>
        <v>11.125</v>
      </c>
      <c r="G131" s="4">
        <f t="shared" si="19"/>
        <v>9</v>
      </c>
      <c r="H131" s="1" t="e">
        <f t="shared" si="20"/>
        <v>#VALUE!</v>
      </c>
      <c r="I131" s="1">
        <f t="shared" si="21"/>
        <v>19.44075</v>
      </c>
      <c r="J131" s="1" t="e">
        <f t="shared" si="22"/>
        <v>#VALUE!</v>
      </c>
      <c r="K131" s="1" t="e">
        <f t="shared" si="24"/>
        <v>#VALUE!</v>
      </c>
      <c r="L131" s="4">
        <f t="shared" si="23"/>
        <v>26.125</v>
      </c>
    </row>
    <row r="132" spans="5:12" ht="12.75">
      <c r="E132">
        <v>255</v>
      </c>
      <c r="F132" s="4">
        <f t="shared" si="18"/>
        <v>11.125</v>
      </c>
      <c r="G132" s="4">
        <f t="shared" si="19"/>
        <v>9</v>
      </c>
      <c r="H132" s="1" t="e">
        <f t="shared" si="20"/>
        <v>#VALUE!</v>
      </c>
      <c r="I132" s="1">
        <f t="shared" si="21"/>
        <v>19.44075</v>
      </c>
      <c r="J132" s="1" t="e">
        <f t="shared" si="22"/>
        <v>#VALUE!</v>
      </c>
      <c r="K132" s="1" t="e">
        <f t="shared" si="24"/>
        <v>#VALUE!</v>
      </c>
      <c r="L132" s="4">
        <f t="shared" si="23"/>
        <v>26.125</v>
      </c>
    </row>
    <row r="133" spans="5:12" ht="12.75">
      <c r="E133">
        <v>270</v>
      </c>
      <c r="F133" s="4">
        <f t="shared" si="18"/>
        <v>11.125</v>
      </c>
      <c r="G133" s="4">
        <f t="shared" si="19"/>
        <v>9</v>
      </c>
      <c r="H133" s="1" t="e">
        <f t="shared" si="20"/>
        <v>#VALUE!</v>
      </c>
      <c r="I133" s="1">
        <f t="shared" si="21"/>
        <v>19.44075</v>
      </c>
      <c r="J133" s="1" t="e">
        <f t="shared" si="22"/>
        <v>#VALUE!</v>
      </c>
      <c r="K133" s="1" t="e">
        <f t="shared" si="24"/>
        <v>#VALUE!</v>
      </c>
      <c r="L133" s="4">
        <f t="shared" si="23"/>
        <v>26.125</v>
      </c>
    </row>
    <row r="134" spans="5:12" ht="12.75">
      <c r="E134">
        <v>285</v>
      </c>
      <c r="F134" s="4">
        <f t="shared" si="18"/>
        <v>11.125</v>
      </c>
      <c r="G134" s="4">
        <f t="shared" si="19"/>
        <v>9</v>
      </c>
      <c r="H134" s="1" t="e">
        <f t="shared" si="20"/>
        <v>#VALUE!</v>
      </c>
      <c r="I134" s="1">
        <f t="shared" si="21"/>
        <v>19.44075</v>
      </c>
      <c r="J134" s="1" t="e">
        <f t="shared" si="22"/>
        <v>#VALUE!</v>
      </c>
      <c r="K134" s="1" t="e">
        <f t="shared" si="24"/>
        <v>#VALUE!</v>
      </c>
      <c r="L134" s="4">
        <f t="shared" si="23"/>
        <v>26.125</v>
      </c>
    </row>
    <row r="135" spans="5:12" ht="12.75">
      <c r="E135">
        <v>300</v>
      </c>
      <c r="F135" s="4">
        <f t="shared" si="18"/>
        <v>11.125</v>
      </c>
      <c r="G135" s="4">
        <f t="shared" si="19"/>
        <v>9</v>
      </c>
      <c r="H135" s="1" t="e">
        <f t="shared" si="20"/>
        <v>#VALUE!</v>
      </c>
      <c r="I135" s="1">
        <f t="shared" si="21"/>
        <v>19.44075</v>
      </c>
      <c r="J135" s="1" t="e">
        <f t="shared" si="22"/>
        <v>#VALUE!</v>
      </c>
      <c r="K135" s="1" t="e">
        <f t="shared" si="24"/>
        <v>#VALUE!</v>
      </c>
      <c r="L135" s="4">
        <f t="shared" si="23"/>
        <v>26.125</v>
      </c>
    </row>
    <row r="136" spans="5:12" ht="12.75">
      <c r="E136">
        <v>315</v>
      </c>
      <c r="F136" s="4">
        <f t="shared" si="18"/>
        <v>11.125</v>
      </c>
      <c r="G136" s="4">
        <f t="shared" si="19"/>
        <v>9</v>
      </c>
      <c r="H136" s="1" t="e">
        <f t="shared" si="20"/>
        <v>#VALUE!</v>
      </c>
      <c r="I136" s="1">
        <f t="shared" si="21"/>
        <v>19.44075</v>
      </c>
      <c r="J136" s="1" t="e">
        <f t="shared" si="22"/>
        <v>#VALUE!</v>
      </c>
      <c r="K136" s="1" t="e">
        <f t="shared" si="24"/>
        <v>#VALUE!</v>
      </c>
      <c r="L136" s="4">
        <f t="shared" si="23"/>
        <v>26.125</v>
      </c>
    </row>
    <row r="137" spans="5:12" ht="12.75">
      <c r="E137">
        <v>330</v>
      </c>
      <c r="F137" s="4">
        <f t="shared" si="18"/>
        <v>11.125</v>
      </c>
      <c r="G137" s="4">
        <f t="shared" si="19"/>
        <v>9</v>
      </c>
      <c r="H137" s="1" t="e">
        <f t="shared" si="20"/>
        <v>#VALUE!</v>
      </c>
      <c r="I137" s="1">
        <f t="shared" si="21"/>
        <v>19.44075</v>
      </c>
      <c r="J137" s="1" t="e">
        <f t="shared" si="22"/>
        <v>#VALUE!</v>
      </c>
      <c r="K137" s="1" t="e">
        <f t="shared" si="24"/>
        <v>#VALUE!</v>
      </c>
      <c r="L137" s="4">
        <f t="shared" si="23"/>
        <v>26.125</v>
      </c>
    </row>
    <row r="138" spans="5:12" ht="12.75">
      <c r="E138">
        <v>345</v>
      </c>
      <c r="F138" s="4">
        <f t="shared" si="18"/>
        <v>11.125</v>
      </c>
      <c r="G138" s="4">
        <f t="shared" si="19"/>
        <v>9</v>
      </c>
      <c r="H138" s="1" t="e">
        <f t="shared" si="20"/>
        <v>#VALUE!</v>
      </c>
      <c r="I138" s="1">
        <f t="shared" si="21"/>
        <v>19.44075</v>
      </c>
      <c r="J138" s="1" t="e">
        <f t="shared" si="22"/>
        <v>#VALUE!</v>
      </c>
      <c r="K138" s="1" t="e">
        <f t="shared" si="24"/>
        <v>#VALUE!</v>
      </c>
      <c r="L138" s="4">
        <f t="shared" si="23"/>
        <v>26.125</v>
      </c>
    </row>
    <row r="139" spans="5:12" ht="12.75">
      <c r="E139">
        <v>360</v>
      </c>
      <c r="F139" s="4">
        <f t="shared" si="18"/>
        <v>11.125</v>
      </c>
      <c r="G139" s="4">
        <f t="shared" si="19"/>
        <v>9</v>
      </c>
      <c r="H139" s="1" t="e">
        <f t="shared" si="20"/>
        <v>#VALUE!</v>
      </c>
      <c r="I139" s="1">
        <f t="shared" si="21"/>
        <v>19.44075</v>
      </c>
      <c r="J139" s="1" t="e">
        <f t="shared" si="22"/>
        <v>#VALUE!</v>
      </c>
      <c r="K139" s="1" t="e">
        <f t="shared" si="24"/>
        <v>#VALUE!</v>
      </c>
      <c r="L139" s="4">
        <f t="shared" si="23"/>
        <v>26.125</v>
      </c>
    </row>
    <row r="147" ht="12.75">
      <c r="A147" t="s">
        <v>205</v>
      </c>
    </row>
    <row r="148" spans="1:9" ht="12.75">
      <c r="A148" s="298" t="s">
        <v>172</v>
      </c>
      <c r="B148" s="298"/>
      <c r="C148" s="298"/>
      <c r="D148" s="298"/>
      <c r="E148" s="298"/>
      <c r="F148" s="298"/>
      <c r="G148" s="298"/>
      <c r="H148" s="298"/>
      <c r="I148" s="298"/>
    </row>
    <row r="149" spans="1:9" ht="12.75">
      <c r="A149" s="298" t="s">
        <v>173</v>
      </c>
      <c r="B149" s="298"/>
      <c r="C149" s="298"/>
      <c r="D149" s="298"/>
      <c r="E149" s="298"/>
      <c r="F149" s="298"/>
      <c r="G149" s="298"/>
      <c r="H149" s="298"/>
      <c r="I149" s="298"/>
    </row>
    <row r="150" spans="1:9" ht="12.75">
      <c r="A150" s="298"/>
      <c r="B150" s="298"/>
      <c r="C150" s="298"/>
      <c r="D150" s="298"/>
      <c r="E150" s="298"/>
      <c r="F150" s="298"/>
      <c r="G150" s="298"/>
      <c r="H150" s="298"/>
      <c r="I150" s="298"/>
    </row>
    <row r="151" spans="1:9" ht="12.75">
      <c r="A151" s="298"/>
      <c r="B151" s="298" t="s">
        <v>174</v>
      </c>
      <c r="C151" s="298"/>
      <c r="D151" s="298"/>
      <c r="E151" s="298" t="s">
        <v>175</v>
      </c>
      <c r="F151" s="298"/>
      <c r="G151" s="298"/>
      <c r="H151" s="298"/>
      <c r="I151" s="298"/>
    </row>
    <row r="152" spans="1:9" ht="12.75">
      <c r="A152" s="298"/>
      <c r="B152" s="298"/>
      <c r="C152" s="298"/>
      <c r="D152" s="298"/>
      <c r="E152" s="298"/>
      <c r="F152" s="298"/>
      <c r="G152" s="298"/>
      <c r="H152" s="298" t="s">
        <v>58</v>
      </c>
      <c r="I152" s="298"/>
    </row>
    <row r="153" spans="1:9" ht="12.75">
      <c r="A153" s="298" t="s">
        <v>176</v>
      </c>
      <c r="B153" s="302">
        <f>+Main!G18</f>
        <v>39</v>
      </c>
      <c r="C153" s="298" t="s">
        <v>177</v>
      </c>
      <c r="D153" s="298"/>
      <c r="E153" s="302">
        <f>B153*25.4</f>
        <v>990.5999999999999</v>
      </c>
      <c r="F153" s="298" t="s">
        <v>178</v>
      </c>
      <c r="G153" s="298"/>
      <c r="H153" s="298"/>
      <c r="I153" s="298"/>
    </row>
    <row r="154" spans="1:9" ht="12.75">
      <c r="A154" s="298" t="s">
        <v>179</v>
      </c>
      <c r="B154" s="302">
        <f>+Main!N20</f>
        <v>96</v>
      </c>
      <c r="C154" s="298" t="s">
        <v>177</v>
      </c>
      <c r="D154" s="298"/>
      <c r="E154" s="302">
        <f>B154*25.4</f>
        <v>2438.3999999999996</v>
      </c>
      <c r="F154" s="298" t="s">
        <v>178</v>
      </c>
      <c r="G154" s="298"/>
      <c r="H154" s="298">
        <f>+B154/12</f>
        <v>8</v>
      </c>
      <c r="I154" s="298"/>
    </row>
    <row r="155" spans="1:9" ht="12.75">
      <c r="A155" s="298" t="s">
        <v>180</v>
      </c>
      <c r="B155" s="302">
        <f>+Main!G19</f>
        <v>34</v>
      </c>
      <c r="C155" s="298" t="s">
        <v>177</v>
      </c>
      <c r="D155" s="298"/>
      <c r="E155" s="302">
        <f>B155*25.4</f>
        <v>863.5999999999999</v>
      </c>
      <c r="F155" s="298" t="s">
        <v>178</v>
      </c>
      <c r="G155" s="298"/>
      <c r="H155" s="298"/>
      <c r="I155" s="298"/>
    </row>
    <row r="156" spans="1:9" ht="12.75">
      <c r="A156" s="298" t="s">
        <v>181</v>
      </c>
      <c r="B156" s="302">
        <f>+Main!G20</f>
        <v>18</v>
      </c>
      <c r="C156" s="298" t="s">
        <v>177</v>
      </c>
      <c r="D156" s="298"/>
      <c r="E156" s="302">
        <f>B156*25.4</f>
        <v>457.2</v>
      </c>
      <c r="F156" s="298" t="s">
        <v>178</v>
      </c>
      <c r="G156" s="298"/>
      <c r="H156" s="298"/>
      <c r="I156" s="298"/>
    </row>
    <row r="157" spans="1:9" ht="12.75">
      <c r="A157" t="s">
        <v>196</v>
      </c>
      <c r="B157" s="303">
        <v>1</v>
      </c>
      <c r="C157" t="s">
        <v>177</v>
      </c>
      <c r="E157" s="304">
        <f>B157*25.4</f>
        <v>25.4</v>
      </c>
      <c r="F157" t="s">
        <v>178</v>
      </c>
      <c r="G157" s="298"/>
      <c r="H157" s="298"/>
      <c r="I157" s="298"/>
    </row>
    <row r="158" spans="1:10" ht="12.75">
      <c r="A158" s="298" t="s">
        <v>182</v>
      </c>
      <c r="B158" s="298"/>
      <c r="C158" s="298"/>
      <c r="D158" s="301">
        <f>0.5*344300/D170</f>
        <v>276.94554519470285</v>
      </c>
      <c r="E158" s="298" t="s">
        <v>183</v>
      </c>
      <c r="F158" s="298"/>
      <c r="J158" s="307"/>
    </row>
    <row r="159" spans="1:10" ht="12.75">
      <c r="A159" s="298" t="s">
        <v>184</v>
      </c>
      <c r="B159" s="298"/>
      <c r="C159" s="298"/>
      <c r="D159" s="301">
        <f>0.5*344300/B170</f>
        <v>511.104571311918</v>
      </c>
      <c r="E159" s="298" t="s">
        <v>183</v>
      </c>
      <c r="F159" s="298"/>
      <c r="J159" s="307"/>
    </row>
    <row r="160" spans="1:10" ht="12.75">
      <c r="A160" s="298" t="s">
        <v>185</v>
      </c>
      <c r="B160" s="298"/>
      <c r="C160" s="298"/>
      <c r="D160" s="301">
        <f>SQRT(D159*D158)</f>
        <v>376.2288321666536</v>
      </c>
      <c r="E160" s="298" t="s">
        <v>183</v>
      </c>
      <c r="F160" s="298"/>
      <c r="J160" s="307"/>
    </row>
    <row r="161" spans="1:9" ht="12.75">
      <c r="A161" s="298"/>
      <c r="B161" s="298"/>
      <c r="C161" s="298"/>
      <c r="D161" s="298"/>
      <c r="E161" s="298"/>
      <c r="F161" s="298"/>
      <c r="G161" s="298"/>
      <c r="H161" s="298"/>
      <c r="I161" s="298"/>
    </row>
    <row r="162" spans="1:9" ht="12.75">
      <c r="A162" s="298" t="s">
        <v>186</v>
      </c>
      <c r="B162" s="298"/>
      <c r="C162" s="298"/>
      <c r="D162" s="298"/>
      <c r="E162" s="298"/>
      <c r="F162" s="298"/>
      <c r="G162" s="298"/>
      <c r="H162" s="298"/>
      <c r="I162" s="298"/>
    </row>
    <row r="163" spans="1:9" ht="12.75">
      <c r="A163" s="298"/>
      <c r="B163" s="298"/>
      <c r="C163" s="298"/>
      <c r="D163" s="298"/>
      <c r="E163" s="298"/>
      <c r="F163" s="298"/>
      <c r="G163" s="298"/>
      <c r="H163" s="298"/>
      <c r="I163" s="298"/>
    </row>
    <row r="164" spans="1:10" ht="12.75">
      <c r="A164" t="s">
        <v>187</v>
      </c>
      <c r="B164" s="305">
        <f>E153/E156</f>
        <v>2.1666666666666665</v>
      </c>
      <c r="D164" s="305">
        <f>E153/E155</f>
        <v>1.1470588235294117</v>
      </c>
      <c r="F164" s="298"/>
      <c r="H164" s="305"/>
      <c r="J164" s="305"/>
    </row>
    <row r="165" spans="1:10" ht="12.75">
      <c r="A165" t="s">
        <v>188</v>
      </c>
      <c r="B165" s="305">
        <f>B164*(E154+E157)/(B164+1)</f>
        <v>1685.757894736842</v>
      </c>
      <c r="C165" t="s">
        <v>178</v>
      </c>
      <c r="D165" s="305">
        <f>D164*E154/(D164+1)</f>
        <v>1302.7068493150684</v>
      </c>
      <c r="E165" t="s">
        <v>178</v>
      </c>
      <c r="F165" s="298"/>
      <c r="H165" s="305"/>
      <c r="J165" s="305"/>
    </row>
    <row r="166" spans="1:10" ht="12.75">
      <c r="A166" t="s">
        <v>189</v>
      </c>
      <c r="B166" s="305">
        <f>SQRT(E153^2+B165^2)</f>
        <v>1955.2667438658054</v>
      </c>
      <c r="C166" t="s">
        <v>178</v>
      </c>
      <c r="D166" s="305">
        <f>SQRT(E153^2+D165^2)</f>
        <v>1636.5614853259844</v>
      </c>
      <c r="E166" t="s">
        <v>178</v>
      </c>
      <c r="F166" s="298"/>
      <c r="H166" s="305"/>
      <c r="J166" s="305"/>
    </row>
    <row r="167" spans="1:10" ht="12.75">
      <c r="A167" t="s">
        <v>190</v>
      </c>
      <c r="B167" s="305">
        <f>E154+E157-B165</f>
        <v>778.0421052631577</v>
      </c>
      <c r="C167" t="s">
        <v>178</v>
      </c>
      <c r="D167" s="305">
        <f>E154-D165</f>
        <v>1135.6931506849312</v>
      </c>
      <c r="E167" t="s">
        <v>178</v>
      </c>
      <c r="F167" s="298"/>
      <c r="H167" s="305"/>
      <c r="J167" s="305"/>
    </row>
    <row r="168" spans="1:10" ht="12.75">
      <c r="A168" t="s">
        <v>191</v>
      </c>
      <c r="B168" s="305">
        <f>SQRT(E156^2+B167^2)</f>
        <v>902.4308048611409</v>
      </c>
      <c r="C168" t="s">
        <v>178</v>
      </c>
      <c r="D168" s="305">
        <f>SQRT(E155^2+D167^2)</f>
        <v>1426.7459102841913</v>
      </c>
      <c r="E168" t="s">
        <v>178</v>
      </c>
      <c r="F168" s="298"/>
      <c r="H168" s="305"/>
      <c r="J168" s="305"/>
    </row>
    <row r="169" spans="1:10" ht="12.75">
      <c r="A169" t="s">
        <v>192</v>
      </c>
      <c r="B169" s="305">
        <f>SQRT((E153-E156)^2+(E154+E157)^2)</f>
        <v>2520.878021642459</v>
      </c>
      <c r="C169" t="s">
        <v>178</v>
      </c>
      <c r="D169" s="305">
        <f>SQRT((E153-E155)^2+E154^2)</f>
        <v>2441.70505180294</v>
      </c>
      <c r="E169" t="s">
        <v>178</v>
      </c>
      <c r="F169" s="298"/>
      <c r="H169" s="305"/>
      <c r="J169" s="305"/>
    </row>
    <row r="170" spans="1:10" ht="12.75">
      <c r="A170" t="s">
        <v>193</v>
      </c>
      <c r="B170" s="305">
        <f>B168+B166-B169</f>
        <v>336.8195270844876</v>
      </c>
      <c r="C170" t="s">
        <v>178</v>
      </c>
      <c r="D170" s="305">
        <f>D168+D166-D169</f>
        <v>621.6023438072357</v>
      </c>
      <c r="E170" t="s">
        <v>178</v>
      </c>
      <c r="F170" s="298"/>
      <c r="H170" s="305"/>
      <c r="J170" s="305"/>
    </row>
    <row r="171" ht="12.75">
      <c r="F171" s="298"/>
    </row>
    <row r="172" spans="1:9" ht="12.75">
      <c r="A172" s="298"/>
      <c r="B172" s="298"/>
      <c r="C172" s="298"/>
      <c r="D172" s="298"/>
      <c r="E172" s="298"/>
      <c r="F172" s="298"/>
      <c r="G172" s="298"/>
      <c r="H172" s="298"/>
      <c r="I172" s="298"/>
    </row>
    <row r="173" spans="1:9" ht="12.75">
      <c r="A173" s="298"/>
      <c r="B173" s="298"/>
      <c r="C173" s="298"/>
      <c r="D173" s="298"/>
      <c r="E173" s="298"/>
      <c r="F173" s="298"/>
      <c r="G173" s="298"/>
      <c r="H173" s="298"/>
      <c r="I173" s="298"/>
    </row>
    <row r="174" spans="1:7" ht="12.75">
      <c r="A174" s="298"/>
      <c r="B174" s="299"/>
      <c r="C174" s="298"/>
      <c r="D174" s="299"/>
      <c r="E174" s="298"/>
      <c r="F174" s="298"/>
      <c r="G174" s="298"/>
    </row>
    <row r="175" spans="1:7" ht="12.75">
      <c r="A175" s="298"/>
      <c r="B175" s="299"/>
      <c r="C175" s="298"/>
      <c r="D175" s="299"/>
      <c r="E175" s="298"/>
      <c r="F175" s="298"/>
      <c r="G175" s="298"/>
    </row>
    <row r="176" spans="1:7" ht="12.75">
      <c r="A176" s="298"/>
      <c r="B176" s="300"/>
      <c r="C176" s="298"/>
      <c r="D176" s="298"/>
      <c r="E176" s="298"/>
      <c r="F176" s="298"/>
      <c r="G176" s="298"/>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Charlie Laub</cp:lastModifiedBy>
  <cp:lastPrinted>2006-06-21T13:58:21Z</cp:lastPrinted>
  <dcterms:created xsi:type="dcterms:W3CDTF">2003-11-15T02:55:42Z</dcterms:created>
  <dcterms:modified xsi:type="dcterms:W3CDTF">2008-08-16T03:16:38Z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-1417816995</vt:i4>
  </property>
  <property fmtid="{D5CDD505-2E9C-101B-9397-08002B2CF9AE}" pid="3" name="_EmailSubject">
    <vt:lpwstr>boxy, again!</vt:lpwstr>
  </property>
  <property fmtid="{D5CDD505-2E9C-101B-9397-08002B2CF9AE}" pid="4" name="_AuthorEmail">
    <vt:lpwstr>Peter.J.Smith@usps.gov</vt:lpwstr>
  </property>
  <property fmtid="{D5CDD505-2E9C-101B-9397-08002B2CF9AE}" pid="5" name="_AuthorEmailDisplayName">
    <vt:lpwstr>Smith, Peter J - Washington, DC - Contractor</vt:lpwstr>
  </property>
  <property fmtid="{D5CDD505-2E9C-101B-9397-08002B2CF9AE}" pid="6" name="_ReviewingToolsShownOnce">
    <vt:lpwstr/>
  </property>
</Properties>
</file>